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workbookProtection workbookPassword="D691" lockStructure="1"/>
  <bookViews>
    <workbookView xWindow="-30" yWindow="30" windowWidth="10410" windowHeight="8550" tabRatio="702"/>
  </bookViews>
  <sheets>
    <sheet name="Калькулятор лизинга" sheetId="11" r:id="rId1"/>
    <sheet name="Аннуитетное (с ндс)" sheetId="8" state="hidden" r:id="rId2"/>
    <sheet name="Равномерное" sheetId="7" state="hidden" r:id="rId3"/>
    <sheet name="Персональный" sheetId="13" state="hidden" r:id="rId4"/>
    <sheet name="Кредит аннуитет" sheetId="9" state="hidden" r:id="rId5"/>
    <sheet name="Кредит равномерное" sheetId="10" state="hidden" r:id="rId6"/>
    <sheet name="Лист2" sheetId="12" state="hidden" r:id="rId7"/>
  </sheets>
  <definedNames>
    <definedName name="_xlnm.Print_Area" localSheetId="0">'Калькулятор лизинга'!$A$1:$Z$81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0" l="1"/>
  <c r="D24" i="9"/>
  <c r="B39" i="11" l="1"/>
  <c r="L2" i="13" l="1"/>
  <c r="D22" i="7"/>
  <c r="D23" i="8"/>
  <c r="D21" i="10" l="1"/>
  <c r="D22" i="10" s="1"/>
  <c r="D21" i="9"/>
  <c r="D38" i="10"/>
  <c r="D38" i="9"/>
  <c r="D37" i="10"/>
  <c r="D37" i="9"/>
  <c r="C5" i="13"/>
  <c r="C6" i="13" s="1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C46" i="13"/>
  <c r="C47" i="13"/>
  <c r="C48" i="13"/>
  <c r="C49" i="13"/>
  <c r="C50" i="13"/>
  <c r="C51" i="13"/>
  <c r="C52" i="13"/>
  <c r="C53" i="13"/>
  <c r="C54" i="13"/>
  <c r="C55" i="13"/>
  <c r="C56" i="13"/>
  <c r="C57" i="13"/>
  <c r="C58" i="13"/>
  <c r="C59" i="13"/>
  <c r="C60" i="13"/>
  <c r="C61" i="13"/>
  <c r="C62" i="13"/>
  <c r="C63" i="13"/>
  <c r="C64" i="13"/>
  <c r="C65" i="13"/>
  <c r="C66" i="13"/>
  <c r="C67" i="13"/>
  <c r="C68" i="13"/>
  <c r="C69" i="13"/>
  <c r="C70" i="13"/>
  <c r="C71" i="13"/>
  <c r="C72" i="13"/>
  <c r="C73" i="13"/>
  <c r="C74" i="13"/>
  <c r="C75" i="13"/>
  <c r="C76" i="13"/>
  <c r="C77" i="13"/>
  <c r="C78" i="13"/>
  <c r="C79" i="13"/>
  <c r="C80" i="13"/>
  <c r="C81" i="13"/>
  <c r="C82" i="13"/>
  <c r="C83" i="13"/>
  <c r="C84" i="13"/>
  <c r="C85" i="13"/>
  <c r="C86" i="13"/>
  <c r="C87" i="13"/>
  <c r="C88" i="13"/>
  <c r="C89" i="13"/>
  <c r="C90" i="13"/>
  <c r="C91" i="13"/>
  <c r="C92" i="13"/>
  <c r="C93" i="13"/>
  <c r="C94" i="13"/>
  <c r="C95" i="13"/>
  <c r="C96" i="13"/>
  <c r="C97" i="13"/>
  <c r="C98" i="13"/>
  <c r="C99" i="13"/>
  <c r="C100" i="13"/>
  <c r="C101" i="13"/>
  <c r="C102" i="13"/>
  <c r="C103" i="13"/>
  <c r="C104" i="13"/>
  <c r="C105" i="13"/>
  <c r="C106" i="13"/>
  <c r="C107" i="13"/>
  <c r="C108" i="13"/>
  <c r="C109" i="13"/>
  <c r="C110" i="13"/>
  <c r="C111" i="13"/>
  <c r="C112" i="13"/>
  <c r="C113" i="13"/>
  <c r="C114" i="13"/>
  <c r="C115" i="13"/>
  <c r="C116" i="13"/>
  <c r="C117" i="13"/>
  <c r="C118" i="13"/>
  <c r="C119" i="13"/>
  <c r="C120" i="13"/>
  <c r="C121" i="13"/>
  <c r="C122" i="13"/>
  <c r="C123" i="13"/>
  <c r="C124" i="13"/>
  <c r="C125" i="13"/>
  <c r="C126" i="13"/>
  <c r="C127" i="13"/>
  <c r="C128" i="13"/>
  <c r="C129" i="13"/>
  <c r="C130" i="13"/>
  <c r="C131" i="13"/>
  <c r="C132" i="13"/>
  <c r="C133" i="13"/>
  <c r="C134" i="13"/>
  <c r="C135" i="13"/>
  <c r="C136" i="13"/>
  <c r="C137" i="13"/>
  <c r="C138" i="13"/>
  <c r="C139" i="13"/>
  <c r="C140" i="13"/>
  <c r="C141" i="13"/>
  <c r="C142" i="13"/>
  <c r="C143" i="13"/>
  <c r="C144" i="13"/>
  <c r="C145" i="13"/>
  <c r="C146" i="13"/>
  <c r="C147" i="13"/>
  <c r="C148" i="13"/>
  <c r="C149" i="13"/>
  <c r="C150" i="13"/>
  <c r="C151" i="13"/>
  <c r="C152" i="13"/>
  <c r="C153" i="13"/>
  <c r="C154" i="13"/>
  <c r="C155" i="13"/>
  <c r="C156" i="13"/>
  <c r="C157" i="13"/>
  <c r="C158" i="13"/>
  <c r="C159" i="13"/>
  <c r="C160" i="13"/>
  <c r="C161" i="13"/>
  <c r="C162" i="13"/>
  <c r="C163" i="13"/>
  <c r="C164" i="13"/>
  <c r="C165" i="13"/>
  <c r="C166" i="13"/>
  <c r="C167" i="13"/>
  <c r="C168" i="13"/>
  <c r="C169" i="13"/>
  <c r="C170" i="13"/>
  <c r="C171" i="13"/>
  <c r="C172" i="13"/>
  <c r="C173" i="13"/>
  <c r="C174" i="13"/>
  <c r="C175" i="13"/>
  <c r="C176" i="13"/>
  <c r="C177" i="13"/>
  <c r="C178" i="13"/>
  <c r="C179" i="13"/>
  <c r="C180" i="13"/>
  <c r="C181" i="13"/>
  <c r="C182" i="13"/>
  <c r="C183" i="13"/>
  <c r="C184" i="13"/>
  <c r="C185" i="13"/>
  <c r="C186" i="13"/>
  <c r="C7" i="13"/>
  <c r="J3" i="13"/>
  <c r="J2" i="13"/>
  <c r="D14" i="10"/>
  <c r="D14" i="9"/>
  <c r="D13" i="7"/>
  <c r="AG6" i="11"/>
  <c r="AG7" i="11" s="1"/>
  <c r="AG8" i="11" s="1"/>
  <c r="AG9" i="11" s="1"/>
  <c r="AG10" i="11" s="1"/>
  <c r="AG11" i="11" s="1"/>
  <c r="AG12" i="11" s="1"/>
  <c r="AG13" i="11" s="1"/>
  <c r="AG14" i="11" s="1"/>
  <c r="AG15" i="11" s="1"/>
  <c r="AG16" i="11" s="1"/>
  <c r="AG17" i="11" s="1"/>
  <c r="AG18" i="11" s="1"/>
  <c r="AG19" i="11" s="1"/>
  <c r="AG20" i="11" s="1"/>
  <c r="AG21" i="11" s="1"/>
  <c r="AG22" i="11" s="1"/>
  <c r="AG23" i="11" s="1"/>
  <c r="AG24" i="11" s="1"/>
  <c r="AG25" i="11" s="1"/>
  <c r="AG26" i="11" s="1"/>
  <c r="AG27" i="11" s="1"/>
  <c r="AG28" i="11" s="1"/>
  <c r="AG29" i="11" s="1"/>
  <c r="AG30" i="11" s="1"/>
  <c r="AG31" i="11" s="1"/>
  <c r="AG32" i="11" s="1"/>
  <c r="AG33" i="11" s="1"/>
  <c r="AG34" i="11" s="1"/>
  <c r="AG35" i="11" s="1"/>
  <c r="AG36" i="11" s="1"/>
  <c r="AG37" i="11" s="1"/>
  <c r="AG38" i="11" s="1"/>
  <c r="AG39" i="11" s="1"/>
  <c r="AG40" i="11" s="1"/>
  <c r="AG41" i="11" s="1"/>
  <c r="AB6" i="11"/>
  <c r="AB7" i="11" s="1"/>
  <c r="AB8" i="11" s="1"/>
  <c r="AB9" i="11" s="1"/>
  <c r="AB10" i="11" s="1"/>
  <c r="AB11" i="11" s="1"/>
  <c r="AB12" i="11" s="1"/>
  <c r="AB13" i="11" s="1"/>
  <c r="AB14" i="11" s="1"/>
  <c r="AB15" i="11" s="1"/>
  <c r="AB16" i="11" s="1"/>
  <c r="AB17" i="11" s="1"/>
  <c r="AB18" i="11" s="1"/>
  <c r="AB19" i="11" s="1"/>
  <c r="AB20" i="11" s="1"/>
  <c r="AB21" i="11" s="1"/>
  <c r="AB22" i="11" s="1"/>
  <c r="AB23" i="11" s="1"/>
  <c r="AB24" i="11" s="1"/>
  <c r="AB25" i="11" s="1"/>
  <c r="AB26" i="11" s="1"/>
  <c r="AB27" i="11" s="1"/>
  <c r="AB28" i="11" s="1"/>
  <c r="AB29" i="11" s="1"/>
  <c r="AB30" i="11" s="1"/>
  <c r="AB31" i="11" s="1"/>
  <c r="AB32" i="11" s="1"/>
  <c r="AB33" i="11" s="1"/>
  <c r="AB34" i="11" s="1"/>
  <c r="AB35" i="11" s="1"/>
  <c r="AB36" i="11" s="1"/>
  <c r="AB37" i="11" s="1"/>
  <c r="AB38" i="11" s="1"/>
  <c r="AB39" i="11" s="1"/>
  <c r="AB40" i="11" s="1"/>
  <c r="AB41" i="11" s="1"/>
  <c r="X6" i="11"/>
  <c r="X7" i="11" s="1"/>
  <c r="X8" i="11" s="1"/>
  <c r="X9" i="11" s="1"/>
  <c r="X10" i="11" s="1"/>
  <c r="X11" i="11" s="1"/>
  <c r="X12" i="11" s="1"/>
  <c r="X13" i="11" s="1"/>
  <c r="X14" i="11" s="1"/>
  <c r="X15" i="11" s="1"/>
  <c r="X16" i="11" s="1"/>
  <c r="X17" i="11" s="1"/>
  <c r="X18" i="11" s="1"/>
  <c r="X19" i="11" s="1"/>
  <c r="X20" i="11" s="1"/>
  <c r="X21" i="11" s="1"/>
  <c r="X22" i="11" s="1"/>
  <c r="X23" i="11" s="1"/>
  <c r="X24" i="11" s="1"/>
  <c r="X25" i="11" s="1"/>
  <c r="X26" i="11" s="1"/>
  <c r="X27" i="11" s="1"/>
  <c r="X28" i="11" s="1"/>
  <c r="X29" i="11" s="1"/>
  <c r="X30" i="11" s="1"/>
  <c r="X31" i="11" s="1"/>
  <c r="X32" i="11" s="1"/>
  <c r="X33" i="11" s="1"/>
  <c r="X34" i="11" s="1"/>
  <c r="X35" i="11" s="1"/>
  <c r="X36" i="11" s="1"/>
  <c r="X37" i="11" s="1"/>
  <c r="X38" i="11" s="1"/>
  <c r="X39" i="11" s="1"/>
  <c r="X40" i="11" s="1"/>
  <c r="X41" i="11" s="1"/>
  <c r="X42" i="11" s="1"/>
  <c r="X43" i="11" s="1"/>
  <c r="X44" i="11" s="1"/>
  <c r="X45" i="11" s="1"/>
  <c r="X46" i="11" s="1"/>
  <c r="X47" i="11" s="1"/>
  <c r="X48" i="11" s="1"/>
  <c r="X49" i="11" s="1"/>
  <c r="X50" i="11" s="1"/>
  <c r="X51" i="11" s="1"/>
  <c r="X52" i="11" s="1"/>
  <c r="X53" i="11" s="1"/>
  <c r="X54" i="11" s="1"/>
  <c r="X55" i="11" s="1"/>
  <c r="X56" i="11" s="1"/>
  <c r="X57" i="11" s="1"/>
  <c r="X58" i="11" s="1"/>
  <c r="X59" i="11" s="1"/>
  <c r="X60" i="11" s="1"/>
  <c r="X61" i="11" s="1"/>
  <c r="X62" i="11" s="1"/>
  <c r="X63" i="11" s="1"/>
  <c r="X64" i="11" s="1"/>
  <c r="X65" i="11" s="1"/>
  <c r="X66" i="11" s="1"/>
  <c r="X67" i="11" s="1"/>
  <c r="X68" i="11" s="1"/>
  <c r="X69" i="11" s="1"/>
  <c r="X70" i="11" s="1"/>
  <c r="X71" i="11" s="1"/>
  <c r="X72" i="11" s="1"/>
  <c r="X73" i="11" s="1"/>
  <c r="X74" i="11" s="1"/>
  <c r="X75" i="11" s="1"/>
  <c r="X76" i="11" s="1"/>
  <c r="X77" i="11" s="1"/>
  <c r="X78" i="11" s="1"/>
  <c r="X79" i="11" s="1"/>
  <c r="X80" i="11" s="1"/>
  <c r="X81" i="11" s="1"/>
  <c r="X82" i="11" s="1"/>
  <c r="X83" i="11" s="1"/>
  <c r="X84" i="11" s="1"/>
  <c r="X85" i="11" s="1"/>
  <c r="X86" i="11" s="1"/>
  <c r="X87" i="11" s="1"/>
  <c r="X88" i="11" s="1"/>
  <c r="X89" i="11" s="1"/>
  <c r="X90" i="11" s="1"/>
  <c r="X91" i="11" s="1"/>
  <c r="X92" i="11" s="1"/>
  <c r="X93" i="11" s="1"/>
  <c r="X94" i="11" s="1"/>
  <c r="X95" i="11" s="1"/>
  <c r="X96" i="11" s="1"/>
  <c r="X97" i="11" s="1"/>
  <c r="X98" i="11" s="1"/>
  <c r="X99" i="11" s="1"/>
  <c r="X100" i="11" s="1"/>
  <c r="X101" i="11" s="1"/>
  <c r="X102" i="11" s="1"/>
  <c r="X103" i="11" s="1"/>
  <c r="X104" i="11" s="1"/>
  <c r="X105" i="11" s="1"/>
  <c r="X106" i="11" s="1"/>
  <c r="X107" i="11" s="1"/>
  <c r="X108" i="11" s="1"/>
  <c r="X109" i="11" s="1"/>
  <c r="X110" i="11" s="1"/>
  <c r="X111" i="11" s="1"/>
  <c r="X112" i="11" s="1"/>
  <c r="X113" i="11" s="1"/>
  <c r="X114" i="11" s="1"/>
  <c r="X115" i="11" s="1"/>
  <c r="X116" i="11" s="1"/>
  <c r="X117" i="11" s="1"/>
  <c r="X118" i="11" s="1"/>
  <c r="X119" i="11" s="1"/>
  <c r="X120" i="11" s="1"/>
  <c r="X121" i="11" s="1"/>
  <c r="X122" i="11" s="1"/>
  <c r="X123" i="11" s="1"/>
  <c r="X124" i="11" s="1"/>
  <c r="X125" i="11" s="1"/>
  <c r="X126" i="11" s="1"/>
  <c r="X127" i="11" s="1"/>
  <c r="X128" i="11" s="1"/>
  <c r="X129" i="11" s="1"/>
  <c r="X130" i="11" s="1"/>
  <c r="X131" i="11" s="1"/>
  <c r="X132" i="11" s="1"/>
  <c r="X133" i="11" s="1"/>
  <c r="X134" i="11" s="1"/>
  <c r="X135" i="11" s="1"/>
  <c r="X136" i="11" s="1"/>
  <c r="X137" i="11" s="1"/>
  <c r="X138" i="11" s="1"/>
  <c r="X139" i="11" s="1"/>
  <c r="X140" i="11" s="1"/>
  <c r="X141" i="11" s="1"/>
  <c r="X142" i="11" s="1"/>
  <c r="X143" i="11" s="1"/>
  <c r="X144" i="11" s="1"/>
  <c r="X145" i="11" s="1"/>
  <c r="X146" i="11" s="1"/>
  <c r="X147" i="11" s="1"/>
  <c r="X148" i="11" s="1"/>
  <c r="X149" i="11" s="1"/>
  <c r="X150" i="11" s="1"/>
  <c r="X151" i="11" s="1"/>
  <c r="X152" i="11" s="1"/>
  <c r="X153" i="11" s="1"/>
  <c r="X154" i="11" s="1"/>
  <c r="X155" i="11" s="1"/>
  <c r="X156" i="11" s="1"/>
  <c r="X157" i="11" s="1"/>
  <c r="X158" i="11" s="1"/>
  <c r="X159" i="11" s="1"/>
  <c r="X160" i="11" s="1"/>
  <c r="X161" i="11" s="1"/>
  <c r="X162" i="11" s="1"/>
  <c r="X163" i="11" s="1"/>
  <c r="X164" i="11" s="1"/>
  <c r="X165" i="11" s="1"/>
  <c r="X166" i="11" s="1"/>
  <c r="X167" i="11" s="1"/>
  <c r="X168" i="11" s="1"/>
  <c r="X169" i="11" s="1"/>
  <c r="X170" i="11" s="1"/>
  <c r="X171" i="11" s="1"/>
  <c r="X172" i="11" s="1"/>
  <c r="X173" i="11" s="1"/>
  <c r="X174" i="11" s="1"/>
  <c r="X175" i="11" s="1"/>
  <c r="X176" i="11" s="1"/>
  <c r="X177" i="11" s="1"/>
  <c r="X178" i="11" s="1"/>
  <c r="X179" i="11" s="1"/>
  <c r="X180" i="11" s="1"/>
  <c r="X181" i="11" s="1"/>
  <c r="X182" i="11" s="1"/>
  <c r="X183" i="11" s="1"/>
  <c r="X184" i="11" s="1"/>
  <c r="X185" i="11" s="1"/>
  <c r="X186" i="11" s="1"/>
  <c r="X187" i="11" s="1"/>
  <c r="X188" i="11" s="1"/>
  <c r="X189" i="11" s="1"/>
  <c r="X190" i="11" s="1"/>
  <c r="X191" i="11" s="1"/>
  <c r="X192" i="11" s="1"/>
  <c r="X193" i="11" s="1"/>
  <c r="X194" i="11" s="1"/>
  <c r="X195" i="11" s="1"/>
  <c r="X196" i="11" s="1"/>
  <c r="X197" i="11" s="1"/>
  <c r="X198" i="11" s="1"/>
  <c r="X199" i="11" s="1"/>
  <c r="X200" i="11" s="1"/>
  <c r="X201" i="11" s="1"/>
  <c r="X202" i="11" s="1"/>
  <c r="X203" i="11" s="1"/>
  <c r="X204" i="11" s="1"/>
  <c r="X205" i="11" s="1"/>
  <c r="X206" i="11" s="1"/>
  <c r="X207" i="11" s="1"/>
  <c r="X208" i="11" s="1"/>
  <c r="X209" i="11" s="1"/>
  <c r="X210" i="11" s="1"/>
  <c r="X211" i="11" s="1"/>
  <c r="X212" i="11" s="1"/>
  <c r="X213" i="11" s="1"/>
  <c r="X214" i="11" s="1"/>
  <c r="X215" i="11" s="1"/>
  <c r="X216" i="11" s="1"/>
  <c r="X217" i="11" s="1"/>
  <c r="X218" i="11" s="1"/>
  <c r="X219" i="11" s="1"/>
  <c r="X220" i="11" s="1"/>
  <c r="X221" i="11" s="1"/>
  <c r="X222" i="11" s="1"/>
  <c r="X223" i="11" s="1"/>
  <c r="X224" i="11" s="1"/>
  <c r="X225" i="11" s="1"/>
  <c r="X226" i="11" s="1"/>
  <c r="X227" i="11" s="1"/>
  <c r="X228" i="11" s="1"/>
  <c r="X229" i="11" s="1"/>
  <c r="X230" i="11" s="1"/>
  <c r="X231" i="11" s="1"/>
  <c r="X232" i="11" s="1"/>
  <c r="X233" i="11" s="1"/>
  <c r="X234" i="11" s="1"/>
  <c r="X235" i="11" s="1"/>
  <c r="X236" i="11" s="1"/>
  <c r="X237" i="11" s="1"/>
  <c r="X238" i="11" s="1"/>
  <c r="X239" i="11" s="1"/>
  <c r="X240" i="11" s="1"/>
  <c r="X241" i="11" s="1"/>
  <c r="X242" i="11" s="1"/>
  <c r="X243" i="11" s="1"/>
  <c r="X244" i="11" s="1"/>
  <c r="X245" i="11" s="1"/>
  <c r="X246" i="11" s="1"/>
  <c r="X247" i="11" s="1"/>
  <c r="X248" i="11" s="1"/>
  <c r="X249" i="11" s="1"/>
  <c r="X250" i="11" s="1"/>
  <c r="X251" i="11" s="1"/>
  <c r="X252" i="11" s="1"/>
  <c r="X253" i="11" s="1"/>
  <c r="X254" i="11" s="1"/>
  <c r="X255" i="11" s="1"/>
  <c r="X256" i="11" s="1"/>
  <c r="X257" i="11" s="1"/>
  <c r="X258" i="11" s="1"/>
  <c r="X259" i="11" s="1"/>
  <c r="X260" i="11" s="1"/>
  <c r="X261" i="11" s="1"/>
  <c r="X262" i="11" s="1"/>
  <c r="X263" i="11" s="1"/>
  <c r="X264" i="11" s="1"/>
  <c r="D14" i="8"/>
  <c r="AG42" i="11" l="1"/>
  <c r="AB42" i="11"/>
  <c r="D14" i="7"/>
  <c r="W82" i="7"/>
  <c r="W84" i="7"/>
  <c r="W86" i="7"/>
  <c r="W88" i="7"/>
  <c r="W90" i="7"/>
  <c r="W92" i="7"/>
  <c r="W94" i="7"/>
  <c r="W96" i="7"/>
  <c r="W98" i="7"/>
  <c r="W100" i="7"/>
  <c r="W102" i="7"/>
  <c r="W104" i="7"/>
  <c r="W106" i="7"/>
  <c r="W108" i="7"/>
  <c r="W110" i="7"/>
  <c r="W112" i="7"/>
  <c r="W114" i="7"/>
  <c r="W116" i="7"/>
  <c r="W118" i="7"/>
  <c r="W120" i="7"/>
  <c r="W122" i="7"/>
  <c r="W124" i="7"/>
  <c r="W126" i="7"/>
  <c r="W128" i="7"/>
  <c r="W130" i="7"/>
  <c r="W132" i="7"/>
  <c r="W134" i="7"/>
  <c r="W136" i="7"/>
  <c r="W138" i="7"/>
  <c r="W140" i="7"/>
  <c r="W142" i="7"/>
  <c r="W144" i="7"/>
  <c r="W146" i="7"/>
  <c r="W148" i="7"/>
  <c r="W150" i="7"/>
  <c r="W152" i="7"/>
  <c r="W154" i="7"/>
  <c r="W156" i="7"/>
  <c r="W158" i="7"/>
  <c r="W160" i="7"/>
  <c r="W162" i="7"/>
  <c r="W164" i="7"/>
  <c r="W166" i="7"/>
  <c r="W168" i="7"/>
  <c r="W170" i="7"/>
  <c r="W172" i="7"/>
  <c r="W174" i="7"/>
  <c r="W176" i="7"/>
  <c r="W178" i="7"/>
  <c r="W180" i="7"/>
  <c r="W182" i="7"/>
  <c r="W184" i="7"/>
  <c r="W186" i="7"/>
  <c r="W188" i="7"/>
  <c r="W83" i="7"/>
  <c r="W87" i="7"/>
  <c r="W91" i="7"/>
  <c r="W95" i="7"/>
  <c r="W99" i="7"/>
  <c r="W103" i="7"/>
  <c r="W107" i="7"/>
  <c r="W111" i="7"/>
  <c r="W115" i="7"/>
  <c r="W119" i="7"/>
  <c r="W123" i="7"/>
  <c r="W127" i="7"/>
  <c r="W131" i="7"/>
  <c r="W135" i="7"/>
  <c r="W139" i="7"/>
  <c r="W143" i="7"/>
  <c r="W147" i="7"/>
  <c r="W151" i="7"/>
  <c r="W155" i="7"/>
  <c r="W159" i="7"/>
  <c r="W163" i="7"/>
  <c r="W167" i="7"/>
  <c r="W171" i="7"/>
  <c r="W175" i="7"/>
  <c r="W179" i="7"/>
  <c r="W183" i="7"/>
  <c r="W187" i="7"/>
  <c r="W189" i="7"/>
  <c r="W85" i="7"/>
  <c r="W89" i="7"/>
  <c r="W93" i="7"/>
  <c r="W97" i="7"/>
  <c r="W101" i="7"/>
  <c r="W105" i="7"/>
  <c r="W109" i="7"/>
  <c r="W113" i="7"/>
  <c r="W117" i="7"/>
  <c r="W121" i="7"/>
  <c r="W125" i="7"/>
  <c r="W129" i="7"/>
  <c r="W133" i="7"/>
  <c r="W137" i="7"/>
  <c r="W141" i="7"/>
  <c r="W145" i="7"/>
  <c r="W149" i="7"/>
  <c r="W153" i="7"/>
  <c r="W157" i="7"/>
  <c r="W161" i="7"/>
  <c r="W165" i="7"/>
  <c r="W169" i="7"/>
  <c r="W173" i="7"/>
  <c r="W177" i="7"/>
  <c r="W181" i="7"/>
  <c r="W185" i="7"/>
  <c r="D15" i="10"/>
  <c r="AA82" i="10"/>
  <c r="AA84" i="10"/>
  <c r="AA86" i="10"/>
  <c r="AA88" i="10"/>
  <c r="AA90" i="10"/>
  <c r="AA92" i="10"/>
  <c r="AA94" i="10"/>
  <c r="AA96" i="10"/>
  <c r="AA98" i="10"/>
  <c r="AA100" i="10"/>
  <c r="AA102" i="10"/>
  <c r="AA104" i="10"/>
  <c r="AA106" i="10"/>
  <c r="AA108" i="10"/>
  <c r="AA110" i="10"/>
  <c r="AA112" i="10"/>
  <c r="AA114" i="10"/>
  <c r="AA116" i="10"/>
  <c r="AA118" i="10"/>
  <c r="AA120" i="10"/>
  <c r="AA122" i="10"/>
  <c r="AA124" i="10"/>
  <c r="AA126" i="10"/>
  <c r="AA128" i="10"/>
  <c r="AA130" i="10"/>
  <c r="AA132" i="10"/>
  <c r="AA134" i="10"/>
  <c r="AA136" i="10"/>
  <c r="AA138" i="10"/>
  <c r="AA140" i="10"/>
  <c r="AA142" i="10"/>
  <c r="AA144" i="10"/>
  <c r="AA146" i="10"/>
  <c r="AA148" i="10"/>
  <c r="AA150" i="10"/>
  <c r="AA152" i="10"/>
  <c r="AA154" i="10"/>
  <c r="AA156" i="10"/>
  <c r="AA158" i="10"/>
  <c r="AA160" i="10"/>
  <c r="AA162" i="10"/>
  <c r="AA164" i="10"/>
  <c r="AA166" i="10"/>
  <c r="AA168" i="10"/>
  <c r="AA170" i="10"/>
  <c r="AA172" i="10"/>
  <c r="AA174" i="10"/>
  <c r="AA176" i="10"/>
  <c r="AA178" i="10"/>
  <c r="AA180" i="10"/>
  <c r="AA85" i="10"/>
  <c r="AA89" i="10"/>
  <c r="AA93" i="10"/>
  <c r="AA97" i="10"/>
  <c r="AA101" i="10"/>
  <c r="AA105" i="10"/>
  <c r="AA109" i="10"/>
  <c r="AA113" i="10"/>
  <c r="AA117" i="10"/>
  <c r="AA121" i="10"/>
  <c r="AA125" i="10"/>
  <c r="AA129" i="10"/>
  <c r="AA133" i="10"/>
  <c r="AA137" i="10"/>
  <c r="AA141" i="10"/>
  <c r="AA145" i="10"/>
  <c r="AA149" i="10"/>
  <c r="AA153" i="10"/>
  <c r="AA157" i="10"/>
  <c r="AA161" i="10"/>
  <c r="AA165" i="10"/>
  <c r="AA169" i="10"/>
  <c r="AA173" i="10"/>
  <c r="AA177" i="10"/>
  <c r="AA181" i="10"/>
  <c r="AA183" i="10"/>
  <c r="AA185" i="10"/>
  <c r="AA187" i="10"/>
  <c r="AA189" i="10"/>
  <c r="AA87" i="10"/>
  <c r="AA95" i="10"/>
  <c r="AA103" i="10"/>
  <c r="AA111" i="10"/>
  <c r="AA119" i="10"/>
  <c r="AA127" i="10"/>
  <c r="AA135" i="10"/>
  <c r="AA143" i="10"/>
  <c r="AA151" i="10"/>
  <c r="AA159" i="10"/>
  <c r="AA167" i="10"/>
  <c r="AA175" i="10"/>
  <c r="AA182" i="10"/>
  <c r="AA186" i="10"/>
  <c r="AA83" i="10"/>
  <c r="AA99" i="10"/>
  <c r="AA115" i="10"/>
  <c r="AA131" i="10"/>
  <c r="AA147" i="10"/>
  <c r="AA163" i="10"/>
  <c r="AA179" i="10"/>
  <c r="AA188" i="10"/>
  <c r="AA91" i="10"/>
  <c r="AA107" i="10"/>
  <c r="AA123" i="10"/>
  <c r="AA139" i="10"/>
  <c r="AA155" i="10"/>
  <c r="AA171" i="10"/>
  <c r="AA184" i="10"/>
  <c r="X70" i="9"/>
  <c r="Y71" i="9"/>
  <c r="Y73" i="9"/>
  <c r="Y75" i="9"/>
  <c r="Y77" i="9"/>
  <c r="Y79" i="9"/>
  <c r="Y81" i="9"/>
  <c r="Y83" i="9"/>
  <c r="Y85" i="9"/>
  <c r="Y87" i="9"/>
  <c r="Y89" i="9"/>
  <c r="Y91" i="9"/>
  <c r="Y93" i="9"/>
  <c r="Y95" i="9"/>
  <c r="Y97" i="9"/>
  <c r="Y99" i="9"/>
  <c r="Y101" i="9"/>
  <c r="Y103" i="9"/>
  <c r="Y105" i="9"/>
  <c r="Y107" i="9"/>
  <c r="Y109" i="9"/>
  <c r="Y111" i="9"/>
  <c r="Y113" i="9"/>
  <c r="Y115" i="9"/>
  <c r="Y117" i="9"/>
  <c r="Y119" i="9"/>
  <c r="Y121" i="9"/>
  <c r="Y123" i="9"/>
  <c r="Y125" i="9"/>
  <c r="Y127" i="9"/>
  <c r="Y129" i="9"/>
  <c r="Y131" i="9"/>
  <c r="Y133" i="9"/>
  <c r="Y135" i="9"/>
  <c r="Y137" i="9"/>
  <c r="Y139" i="9"/>
  <c r="Y141" i="9"/>
  <c r="Y143" i="9"/>
  <c r="Y145" i="9"/>
  <c r="Y147" i="9"/>
  <c r="Y149" i="9"/>
  <c r="Y151" i="9"/>
  <c r="Y153" i="9"/>
  <c r="Y155" i="9"/>
  <c r="Y157" i="9"/>
  <c r="Y159" i="9"/>
  <c r="Y161" i="9"/>
  <c r="Y163" i="9"/>
  <c r="Y165" i="9"/>
  <c r="Y167" i="9"/>
  <c r="Y169" i="9"/>
  <c r="Y171" i="9"/>
  <c r="Y173" i="9"/>
  <c r="Y175" i="9"/>
  <c r="Y177" i="9"/>
  <c r="Y179" i="9"/>
  <c r="Y181" i="9"/>
  <c r="Y183" i="9"/>
  <c r="Y185" i="9"/>
  <c r="Y187" i="9"/>
  <c r="Y189" i="9"/>
  <c r="Y70" i="9"/>
  <c r="Y74" i="9"/>
  <c r="Y78" i="9"/>
  <c r="Y82" i="9"/>
  <c r="Y86" i="9"/>
  <c r="Y90" i="9"/>
  <c r="Y94" i="9"/>
  <c r="Y98" i="9"/>
  <c r="Y102" i="9"/>
  <c r="Y106" i="9"/>
  <c r="Y110" i="9"/>
  <c r="Y114" i="9"/>
  <c r="Y118" i="9"/>
  <c r="Y122" i="9"/>
  <c r="Y126" i="9"/>
  <c r="Y130" i="9"/>
  <c r="Y134" i="9"/>
  <c r="Y138" i="9"/>
  <c r="Y142" i="9"/>
  <c r="Y146" i="9"/>
  <c r="Y150" i="9"/>
  <c r="Y154" i="9"/>
  <c r="Y158" i="9"/>
  <c r="Y162" i="9"/>
  <c r="Y166" i="9"/>
  <c r="Y170" i="9"/>
  <c r="Y174" i="9"/>
  <c r="Y178" i="9"/>
  <c r="Y182" i="9"/>
  <c r="Y186" i="9"/>
  <c r="Y72" i="9"/>
  <c r="Y76" i="9"/>
  <c r="Y80" i="9"/>
  <c r="Y84" i="9"/>
  <c r="Y88" i="9"/>
  <c r="Y92" i="9"/>
  <c r="Y96" i="9"/>
  <c r="Y100" i="9"/>
  <c r="Y104" i="9"/>
  <c r="Y108" i="9"/>
  <c r="Y112" i="9"/>
  <c r="Y116" i="9"/>
  <c r="Y120" i="9"/>
  <c r="Y124" i="9"/>
  <c r="Y128" i="9"/>
  <c r="Y132" i="9"/>
  <c r="Y136" i="9"/>
  <c r="Y140" i="9"/>
  <c r="Y144" i="9"/>
  <c r="Y148" i="9"/>
  <c r="Y152" i="9"/>
  <c r="Y156" i="9"/>
  <c r="Y160" i="9"/>
  <c r="Y164" i="9"/>
  <c r="Y168" i="9"/>
  <c r="Y172" i="9"/>
  <c r="Y176" i="9"/>
  <c r="Y180" i="9"/>
  <c r="Y184" i="9"/>
  <c r="Y188" i="9"/>
  <c r="I165" i="8"/>
  <c r="D15" i="9"/>
  <c r="AB82" i="9"/>
  <c r="AB84" i="9"/>
  <c r="AB86" i="9"/>
  <c r="AB88" i="9"/>
  <c r="AB90" i="9"/>
  <c r="AB92" i="9"/>
  <c r="AB94" i="9"/>
  <c r="AB96" i="9"/>
  <c r="AB98" i="9"/>
  <c r="AB100" i="9"/>
  <c r="AB102" i="9"/>
  <c r="AB104" i="9"/>
  <c r="AB106" i="9"/>
  <c r="AB108" i="9"/>
  <c r="AB110" i="9"/>
  <c r="AB112" i="9"/>
  <c r="AB114" i="9"/>
  <c r="AB116" i="9"/>
  <c r="AB118" i="9"/>
  <c r="AB120" i="9"/>
  <c r="AB122" i="9"/>
  <c r="AB124" i="9"/>
  <c r="AB126" i="9"/>
  <c r="AB128" i="9"/>
  <c r="AB130" i="9"/>
  <c r="AB132" i="9"/>
  <c r="AB134" i="9"/>
  <c r="AB136" i="9"/>
  <c r="AB138" i="9"/>
  <c r="AB140" i="9"/>
  <c r="AB142" i="9"/>
  <c r="AB144" i="9"/>
  <c r="AB146" i="9"/>
  <c r="AB148" i="9"/>
  <c r="AB150" i="9"/>
  <c r="AB152" i="9"/>
  <c r="AB154" i="9"/>
  <c r="AB156" i="9"/>
  <c r="AB158" i="9"/>
  <c r="AB160" i="9"/>
  <c r="AB162" i="9"/>
  <c r="AB164" i="9"/>
  <c r="AB166" i="9"/>
  <c r="AB168" i="9"/>
  <c r="AB170" i="9"/>
  <c r="AB172" i="9"/>
  <c r="AB174" i="9"/>
  <c r="AB176" i="9"/>
  <c r="AB178" i="9"/>
  <c r="AB180" i="9"/>
  <c r="AB182" i="9"/>
  <c r="AB184" i="9"/>
  <c r="AB186" i="9"/>
  <c r="AB188" i="9"/>
  <c r="AB85" i="9"/>
  <c r="AB89" i="9"/>
  <c r="AB93" i="9"/>
  <c r="AB97" i="9"/>
  <c r="AB101" i="9"/>
  <c r="AB105" i="9"/>
  <c r="AB109" i="9"/>
  <c r="AB113" i="9"/>
  <c r="AB117" i="9"/>
  <c r="AB121" i="9"/>
  <c r="AB125" i="9"/>
  <c r="AB129" i="9"/>
  <c r="AB133" i="9"/>
  <c r="AB137" i="9"/>
  <c r="AB141" i="9"/>
  <c r="AB145" i="9"/>
  <c r="AB149" i="9"/>
  <c r="AB153" i="9"/>
  <c r="AB157" i="9"/>
  <c r="AB161" i="9"/>
  <c r="AB165" i="9"/>
  <c r="AB169" i="9"/>
  <c r="AB173" i="9"/>
  <c r="AB177" i="9"/>
  <c r="AB181" i="9"/>
  <c r="AB185" i="9"/>
  <c r="AB189" i="9"/>
  <c r="AB83" i="9"/>
  <c r="AB87" i="9"/>
  <c r="AB91" i="9"/>
  <c r="AB95" i="9"/>
  <c r="AB99" i="9"/>
  <c r="AB103" i="9"/>
  <c r="AB107" i="9"/>
  <c r="AB111" i="9"/>
  <c r="AB115" i="9"/>
  <c r="AB119" i="9"/>
  <c r="AB123" i="9"/>
  <c r="AB127" i="9"/>
  <c r="AB131" i="9"/>
  <c r="AB135" i="9"/>
  <c r="AB139" i="9"/>
  <c r="AB143" i="9"/>
  <c r="AB147" i="9"/>
  <c r="AB151" i="9"/>
  <c r="AB155" i="9"/>
  <c r="AB159" i="9"/>
  <c r="AB163" i="9"/>
  <c r="AB167" i="9"/>
  <c r="AB171" i="9"/>
  <c r="AB175" i="9"/>
  <c r="AB179" i="9"/>
  <c r="AB183" i="9"/>
  <c r="AB187" i="9"/>
  <c r="X82" i="10"/>
  <c r="X84" i="10"/>
  <c r="X86" i="10"/>
  <c r="X88" i="10"/>
  <c r="X90" i="10"/>
  <c r="X92" i="10"/>
  <c r="X94" i="10"/>
  <c r="X96" i="10"/>
  <c r="X98" i="10"/>
  <c r="X100" i="10"/>
  <c r="X102" i="10"/>
  <c r="X104" i="10"/>
  <c r="X106" i="10"/>
  <c r="X108" i="10"/>
  <c r="X110" i="10"/>
  <c r="X112" i="10"/>
  <c r="X114" i="10"/>
  <c r="X116" i="10"/>
  <c r="X118" i="10"/>
  <c r="X120" i="10"/>
  <c r="X122" i="10"/>
  <c r="X124" i="10"/>
  <c r="X126" i="10"/>
  <c r="X128" i="10"/>
  <c r="X130" i="10"/>
  <c r="X132" i="10"/>
  <c r="X134" i="10"/>
  <c r="X136" i="10"/>
  <c r="X138" i="10"/>
  <c r="X140" i="10"/>
  <c r="X142" i="10"/>
  <c r="X144" i="10"/>
  <c r="X146" i="10"/>
  <c r="X148" i="10"/>
  <c r="X150" i="10"/>
  <c r="X152" i="10"/>
  <c r="X154" i="10"/>
  <c r="X156" i="10"/>
  <c r="X158" i="10"/>
  <c r="X160" i="10"/>
  <c r="X162" i="10"/>
  <c r="X164" i="10"/>
  <c r="X166" i="10"/>
  <c r="X168" i="10"/>
  <c r="X170" i="10"/>
  <c r="X172" i="10"/>
  <c r="X174" i="10"/>
  <c r="X176" i="10"/>
  <c r="X178" i="10"/>
  <c r="X180" i="10"/>
  <c r="X182" i="10"/>
  <c r="X184" i="10"/>
  <c r="X186" i="10"/>
  <c r="X188" i="10"/>
  <c r="X85" i="10"/>
  <c r="X89" i="10"/>
  <c r="X93" i="10"/>
  <c r="X97" i="10"/>
  <c r="X101" i="10"/>
  <c r="X105" i="10"/>
  <c r="X109" i="10"/>
  <c r="X113" i="10"/>
  <c r="X117" i="10"/>
  <c r="X121" i="10"/>
  <c r="X125" i="10"/>
  <c r="X129" i="10"/>
  <c r="X133" i="10"/>
  <c r="X137" i="10"/>
  <c r="X141" i="10"/>
  <c r="X145" i="10"/>
  <c r="X149" i="10"/>
  <c r="X153" i="10"/>
  <c r="X157" i="10"/>
  <c r="X161" i="10"/>
  <c r="X165" i="10"/>
  <c r="X169" i="10"/>
  <c r="X173" i="10"/>
  <c r="X177" i="10"/>
  <c r="X181" i="10"/>
  <c r="X185" i="10"/>
  <c r="X189" i="10"/>
  <c r="X87" i="10"/>
  <c r="X95" i="10"/>
  <c r="X103" i="10"/>
  <c r="X111" i="10"/>
  <c r="X119" i="10"/>
  <c r="X127" i="10"/>
  <c r="X135" i="10"/>
  <c r="X143" i="10"/>
  <c r="X151" i="10"/>
  <c r="X159" i="10"/>
  <c r="X167" i="10"/>
  <c r="X175" i="10"/>
  <c r="X183" i="10"/>
  <c r="X83" i="10"/>
  <c r="X91" i="10"/>
  <c r="X99" i="10"/>
  <c r="X107" i="10"/>
  <c r="X115" i="10"/>
  <c r="X123" i="10"/>
  <c r="X131" i="10"/>
  <c r="X139" i="10"/>
  <c r="X147" i="10"/>
  <c r="X155" i="10"/>
  <c r="X163" i="10"/>
  <c r="X171" i="10"/>
  <c r="X179" i="10"/>
  <c r="X187" i="10"/>
  <c r="I124" i="8"/>
  <c r="I181" i="8"/>
  <c r="I149" i="8"/>
  <c r="I92" i="8"/>
  <c r="I189" i="8"/>
  <c r="I173" i="8"/>
  <c r="I157" i="8"/>
  <c r="I140" i="8"/>
  <c r="I108" i="8"/>
  <c r="I185" i="8"/>
  <c r="I177" i="8"/>
  <c r="I169" i="8"/>
  <c r="I161" i="8"/>
  <c r="I153" i="8"/>
  <c r="I145" i="8"/>
  <c r="I132" i="8"/>
  <c r="I116" i="8"/>
  <c r="I100" i="8"/>
  <c r="I84" i="8"/>
  <c r="D15" i="8"/>
  <c r="W84" i="8"/>
  <c r="W86" i="8"/>
  <c r="W83" i="8"/>
  <c r="W85" i="8"/>
  <c r="W87" i="8"/>
  <c r="W89" i="8"/>
  <c r="W91" i="8"/>
  <c r="W93" i="8"/>
  <c r="W95" i="8"/>
  <c r="W97" i="8"/>
  <c r="W99" i="8"/>
  <c r="W101" i="8"/>
  <c r="W103" i="8"/>
  <c r="W105" i="8"/>
  <c r="W107" i="8"/>
  <c r="W109" i="8"/>
  <c r="W111" i="8"/>
  <c r="W113" i="8"/>
  <c r="W115" i="8"/>
  <c r="W117" i="8"/>
  <c r="W119" i="8"/>
  <c r="W121" i="8"/>
  <c r="W123" i="8"/>
  <c r="W125" i="8"/>
  <c r="W127" i="8"/>
  <c r="W129" i="8"/>
  <c r="W131" i="8"/>
  <c r="W133" i="8"/>
  <c r="W135" i="8"/>
  <c r="W137" i="8"/>
  <c r="W139" i="8"/>
  <c r="W141" i="8"/>
  <c r="W143" i="8"/>
  <c r="W145" i="8"/>
  <c r="W147" i="8"/>
  <c r="W149" i="8"/>
  <c r="W151" i="8"/>
  <c r="W153" i="8"/>
  <c r="W155" i="8"/>
  <c r="W157" i="8"/>
  <c r="W159" i="8"/>
  <c r="W161" i="8"/>
  <c r="W163" i="8"/>
  <c r="W165" i="8"/>
  <c r="W167" i="8"/>
  <c r="W169" i="8"/>
  <c r="W171" i="8"/>
  <c r="W173" i="8"/>
  <c r="W175" i="8"/>
  <c r="W177" i="8"/>
  <c r="W179" i="8"/>
  <c r="W181" i="8"/>
  <c r="W183" i="8"/>
  <c r="W185" i="8"/>
  <c r="W187" i="8"/>
  <c r="W189" i="8"/>
  <c r="W88" i="8"/>
  <c r="W90" i="8"/>
  <c r="W92" i="8"/>
  <c r="W94" i="8"/>
  <c r="W96" i="8"/>
  <c r="W98" i="8"/>
  <c r="W100" i="8"/>
  <c r="W102" i="8"/>
  <c r="W104" i="8"/>
  <c r="W106" i="8"/>
  <c r="W108" i="8"/>
  <c r="W110" i="8"/>
  <c r="W112" i="8"/>
  <c r="W116" i="8"/>
  <c r="W120" i="8"/>
  <c r="W124" i="8"/>
  <c r="W128" i="8"/>
  <c r="W132" i="8"/>
  <c r="W136" i="8"/>
  <c r="W140" i="8"/>
  <c r="W144" i="8"/>
  <c r="W148" i="8"/>
  <c r="W152" i="8"/>
  <c r="W156" i="8"/>
  <c r="W160" i="8"/>
  <c r="W164" i="8"/>
  <c r="W168" i="8"/>
  <c r="W172" i="8"/>
  <c r="W176" i="8"/>
  <c r="W180" i="8"/>
  <c r="W184" i="8"/>
  <c r="W188" i="8"/>
  <c r="W114" i="8"/>
  <c r="W118" i="8"/>
  <c r="W122" i="8"/>
  <c r="W126" i="8"/>
  <c r="W130" i="8"/>
  <c r="W134" i="8"/>
  <c r="W138" i="8"/>
  <c r="W142" i="8"/>
  <c r="W146" i="8"/>
  <c r="W150" i="8"/>
  <c r="W154" i="8"/>
  <c r="W158" i="8"/>
  <c r="W162" i="8"/>
  <c r="W166" i="8"/>
  <c r="W170" i="8"/>
  <c r="W174" i="8"/>
  <c r="W178" i="8"/>
  <c r="W182" i="8"/>
  <c r="W186" i="8"/>
  <c r="W190" i="8"/>
  <c r="X189" i="9"/>
  <c r="X187" i="9"/>
  <c r="X185" i="9"/>
  <c r="X183" i="9"/>
  <c r="X181" i="9"/>
  <c r="X179" i="9"/>
  <c r="X177" i="9"/>
  <c r="X175" i="9"/>
  <c r="X173" i="9"/>
  <c r="X171" i="9"/>
  <c r="X169" i="9"/>
  <c r="X167" i="9"/>
  <c r="X165" i="9"/>
  <c r="X163" i="9"/>
  <c r="X161" i="9"/>
  <c r="X159" i="9"/>
  <c r="X157" i="9"/>
  <c r="X155" i="9"/>
  <c r="X153" i="9"/>
  <c r="X151" i="9"/>
  <c r="X149" i="9"/>
  <c r="X147" i="9"/>
  <c r="X145" i="9"/>
  <c r="X143" i="9"/>
  <c r="X141" i="9"/>
  <c r="X139" i="9"/>
  <c r="X137" i="9"/>
  <c r="X135" i="9"/>
  <c r="X133" i="9"/>
  <c r="X131" i="9"/>
  <c r="X129" i="9"/>
  <c r="X127" i="9"/>
  <c r="X125" i="9"/>
  <c r="X123" i="9"/>
  <c r="X121" i="9"/>
  <c r="X119" i="9"/>
  <c r="X117" i="9"/>
  <c r="X115" i="9"/>
  <c r="X113" i="9"/>
  <c r="X111" i="9"/>
  <c r="X109" i="9"/>
  <c r="X107" i="9"/>
  <c r="X105" i="9"/>
  <c r="X103" i="9"/>
  <c r="X101" i="9"/>
  <c r="X99" i="9"/>
  <c r="X97" i="9"/>
  <c r="X95" i="9"/>
  <c r="X93" i="9"/>
  <c r="X91" i="9"/>
  <c r="X89" i="9"/>
  <c r="X87" i="9"/>
  <c r="X85" i="9"/>
  <c r="X83" i="9"/>
  <c r="X81" i="9"/>
  <c r="X79" i="9"/>
  <c r="X77" i="9"/>
  <c r="X75" i="9"/>
  <c r="X73" i="9"/>
  <c r="X71" i="9"/>
  <c r="D22" i="9"/>
  <c r="X188" i="9"/>
  <c r="X186" i="9"/>
  <c r="X184" i="9"/>
  <c r="X182" i="9"/>
  <c r="X180" i="9"/>
  <c r="X178" i="9"/>
  <c r="X176" i="9"/>
  <c r="X174" i="9"/>
  <c r="X172" i="9"/>
  <c r="X170" i="9"/>
  <c r="X168" i="9"/>
  <c r="X166" i="9"/>
  <c r="X164" i="9"/>
  <c r="X162" i="9"/>
  <c r="X160" i="9"/>
  <c r="X158" i="9"/>
  <c r="X156" i="9"/>
  <c r="X154" i="9"/>
  <c r="X152" i="9"/>
  <c r="X150" i="9"/>
  <c r="X148" i="9"/>
  <c r="X146" i="9"/>
  <c r="X144" i="9"/>
  <c r="X142" i="9"/>
  <c r="X140" i="9"/>
  <c r="X138" i="9"/>
  <c r="X136" i="9"/>
  <c r="X134" i="9"/>
  <c r="X132" i="9"/>
  <c r="X130" i="9"/>
  <c r="X128" i="9"/>
  <c r="X126" i="9"/>
  <c r="X124" i="9"/>
  <c r="X122" i="9"/>
  <c r="X120" i="9"/>
  <c r="X118" i="9"/>
  <c r="X116" i="9"/>
  <c r="X114" i="9"/>
  <c r="X112" i="9"/>
  <c r="X110" i="9"/>
  <c r="X108" i="9"/>
  <c r="X106" i="9"/>
  <c r="X104" i="9"/>
  <c r="X102" i="9"/>
  <c r="X100" i="9"/>
  <c r="X98" i="9"/>
  <c r="X96" i="9"/>
  <c r="X94" i="9"/>
  <c r="X92" i="9"/>
  <c r="X90" i="9"/>
  <c r="X88" i="9"/>
  <c r="X86" i="9"/>
  <c r="X84" i="9"/>
  <c r="X82" i="9"/>
  <c r="X80" i="9"/>
  <c r="X78" i="9"/>
  <c r="X76" i="9"/>
  <c r="X74" i="9"/>
  <c r="X72" i="9"/>
  <c r="I187" i="8"/>
  <c r="I183" i="8"/>
  <c r="I179" i="8"/>
  <c r="I175" i="8"/>
  <c r="I171" i="8"/>
  <c r="I167" i="8"/>
  <c r="I163" i="8"/>
  <c r="I159" i="8"/>
  <c r="I155" i="8"/>
  <c r="I151" i="8"/>
  <c r="I147" i="8"/>
  <c r="I143" i="8"/>
  <c r="I136" i="8"/>
  <c r="I128" i="8"/>
  <c r="I120" i="8"/>
  <c r="I112" i="8"/>
  <c r="I104" i="8"/>
  <c r="I96" i="8"/>
  <c r="I88" i="8"/>
  <c r="I190" i="8"/>
  <c r="I188" i="8"/>
  <c r="I186" i="8"/>
  <c r="I184" i="8"/>
  <c r="I182" i="8"/>
  <c r="I180" i="8"/>
  <c r="I178" i="8"/>
  <c r="I176" i="8"/>
  <c r="I174" i="8"/>
  <c r="I172" i="8"/>
  <c r="I170" i="8"/>
  <c r="I168" i="8"/>
  <c r="I166" i="8"/>
  <c r="I164" i="8"/>
  <c r="I162" i="8"/>
  <c r="I160" i="8"/>
  <c r="I158" i="8"/>
  <c r="I156" i="8"/>
  <c r="I154" i="8"/>
  <c r="I152" i="8"/>
  <c r="I150" i="8"/>
  <c r="I148" i="8"/>
  <c r="I146" i="8"/>
  <c r="I144" i="8"/>
  <c r="I142" i="8"/>
  <c r="I138" i="8"/>
  <c r="I134" i="8"/>
  <c r="I130" i="8"/>
  <c r="I126" i="8"/>
  <c r="I122" i="8"/>
  <c r="I118" i="8"/>
  <c r="I114" i="8"/>
  <c r="I110" i="8"/>
  <c r="I106" i="8"/>
  <c r="I102" i="8"/>
  <c r="I98" i="8"/>
  <c r="I94" i="8"/>
  <c r="I90" i="8"/>
  <c r="I86" i="8"/>
  <c r="D124" i="13"/>
  <c r="E124" i="13" s="1"/>
  <c r="C3" i="13"/>
  <c r="I141" i="8"/>
  <c r="I139" i="8"/>
  <c r="I137" i="8"/>
  <c r="I135" i="8"/>
  <c r="I133" i="8"/>
  <c r="I131" i="8"/>
  <c r="I129" i="8"/>
  <c r="I127" i="8"/>
  <c r="I125" i="8"/>
  <c r="I123" i="8"/>
  <c r="I121" i="8"/>
  <c r="I119" i="8"/>
  <c r="I117" i="8"/>
  <c r="I115" i="8"/>
  <c r="I113" i="8"/>
  <c r="I111" i="8"/>
  <c r="I109" i="8"/>
  <c r="I107" i="8"/>
  <c r="I105" i="8"/>
  <c r="I103" i="8"/>
  <c r="I101" i="8"/>
  <c r="I99" i="8"/>
  <c r="I97" i="8"/>
  <c r="I95" i="8"/>
  <c r="I93" i="8"/>
  <c r="I91" i="8"/>
  <c r="I89" i="8"/>
  <c r="I87" i="8"/>
  <c r="I85" i="8"/>
  <c r="I83" i="8"/>
  <c r="C2" i="13"/>
  <c r="D181" i="13"/>
  <c r="E181" i="13" s="1"/>
  <c r="D165" i="13"/>
  <c r="E165" i="13" s="1"/>
  <c r="D148" i="13"/>
  <c r="E148" i="13" s="1"/>
  <c r="D5" i="13"/>
  <c r="D173" i="13"/>
  <c r="E173" i="13" s="1"/>
  <c r="D157" i="13"/>
  <c r="E157" i="13" s="1"/>
  <c r="D132" i="13"/>
  <c r="E132" i="13" s="1"/>
  <c r="D185" i="13"/>
  <c r="E185" i="13" s="1"/>
  <c r="D177" i="13"/>
  <c r="E177" i="13" s="1"/>
  <c r="D169" i="13"/>
  <c r="E169" i="13" s="1"/>
  <c r="D161" i="13"/>
  <c r="E161" i="13" s="1"/>
  <c r="D153" i="13"/>
  <c r="E153" i="13" s="1"/>
  <c r="D140" i="13"/>
  <c r="E140" i="13" s="1"/>
  <c r="D9" i="13"/>
  <c r="E9" i="13" s="1"/>
  <c r="D11" i="13"/>
  <c r="E11" i="13" s="1"/>
  <c r="D13" i="13"/>
  <c r="E13" i="13" s="1"/>
  <c r="D15" i="13"/>
  <c r="E15" i="13" s="1"/>
  <c r="D17" i="13"/>
  <c r="E17" i="13" s="1"/>
  <c r="D19" i="13"/>
  <c r="E19" i="13" s="1"/>
  <c r="D21" i="13"/>
  <c r="E21" i="13" s="1"/>
  <c r="D23" i="13"/>
  <c r="E23" i="13" s="1"/>
  <c r="D25" i="13"/>
  <c r="E25" i="13" s="1"/>
  <c r="D27" i="13"/>
  <c r="E27" i="13" s="1"/>
  <c r="D29" i="13"/>
  <c r="E29" i="13" s="1"/>
  <c r="D31" i="13"/>
  <c r="E31" i="13" s="1"/>
  <c r="D33" i="13"/>
  <c r="E33" i="13" s="1"/>
  <c r="D35" i="13"/>
  <c r="E35" i="13" s="1"/>
  <c r="D37" i="13"/>
  <c r="E37" i="13" s="1"/>
  <c r="D39" i="13"/>
  <c r="E39" i="13" s="1"/>
  <c r="D41" i="13"/>
  <c r="E41" i="13" s="1"/>
  <c r="D43" i="13"/>
  <c r="E43" i="13" s="1"/>
  <c r="D45" i="13"/>
  <c r="E45" i="13" s="1"/>
  <c r="D47" i="13"/>
  <c r="E47" i="13" s="1"/>
  <c r="D49" i="13"/>
  <c r="E49" i="13" s="1"/>
  <c r="D51" i="13"/>
  <c r="E51" i="13" s="1"/>
  <c r="D53" i="13"/>
  <c r="E53" i="13" s="1"/>
  <c r="D55" i="13"/>
  <c r="E55" i="13" s="1"/>
  <c r="D57" i="13"/>
  <c r="E57" i="13" s="1"/>
  <c r="D59" i="13"/>
  <c r="E59" i="13" s="1"/>
  <c r="D61" i="13"/>
  <c r="E61" i="13" s="1"/>
  <c r="D63" i="13"/>
  <c r="E63" i="13" s="1"/>
  <c r="D65" i="13"/>
  <c r="E65" i="13" s="1"/>
  <c r="D67" i="13"/>
  <c r="E67" i="13" s="1"/>
  <c r="D69" i="13"/>
  <c r="E69" i="13" s="1"/>
  <c r="D71" i="13"/>
  <c r="E71" i="13" s="1"/>
  <c r="D73" i="13"/>
  <c r="E73" i="13" s="1"/>
  <c r="D75" i="13"/>
  <c r="E75" i="13" s="1"/>
  <c r="D77" i="13"/>
  <c r="E77" i="13" s="1"/>
  <c r="D79" i="13"/>
  <c r="E79" i="13" s="1"/>
  <c r="D81" i="13"/>
  <c r="E81" i="13" s="1"/>
  <c r="D83" i="13"/>
  <c r="E83" i="13" s="1"/>
  <c r="D85" i="13"/>
  <c r="E85" i="13" s="1"/>
  <c r="D87" i="13"/>
  <c r="E87" i="13" s="1"/>
  <c r="D89" i="13"/>
  <c r="E89" i="13" s="1"/>
  <c r="D91" i="13"/>
  <c r="E91" i="13" s="1"/>
  <c r="D93" i="13"/>
  <c r="E93" i="13" s="1"/>
  <c r="D95" i="13"/>
  <c r="E95" i="13" s="1"/>
  <c r="D97" i="13"/>
  <c r="E97" i="13" s="1"/>
  <c r="D99" i="13"/>
  <c r="E99" i="13" s="1"/>
  <c r="D101" i="13"/>
  <c r="E101" i="13" s="1"/>
  <c r="D103" i="13"/>
  <c r="E103" i="13" s="1"/>
  <c r="D105" i="13"/>
  <c r="E105" i="13" s="1"/>
  <c r="D107" i="13"/>
  <c r="E107" i="13" s="1"/>
  <c r="D109" i="13"/>
  <c r="E109" i="13" s="1"/>
  <c r="D111" i="13"/>
  <c r="E111" i="13" s="1"/>
  <c r="D113" i="13"/>
  <c r="E113" i="13" s="1"/>
  <c r="D115" i="13"/>
  <c r="E115" i="13" s="1"/>
  <c r="D117" i="13"/>
  <c r="E117" i="13" s="1"/>
  <c r="D119" i="13"/>
  <c r="E119" i="13" s="1"/>
  <c r="D121" i="13"/>
  <c r="E121" i="13" s="1"/>
  <c r="D123" i="13"/>
  <c r="E123" i="13" s="1"/>
  <c r="D125" i="13"/>
  <c r="E125" i="13" s="1"/>
  <c r="D127" i="13"/>
  <c r="E127" i="13" s="1"/>
  <c r="D129" i="13"/>
  <c r="E129" i="13" s="1"/>
  <c r="D131" i="13"/>
  <c r="E131" i="13" s="1"/>
  <c r="D133" i="13"/>
  <c r="E133" i="13" s="1"/>
  <c r="D135" i="13"/>
  <c r="E135" i="13" s="1"/>
  <c r="D137" i="13"/>
  <c r="E137" i="13" s="1"/>
  <c r="D139" i="13"/>
  <c r="E139" i="13" s="1"/>
  <c r="D141" i="13"/>
  <c r="E141" i="13" s="1"/>
  <c r="D143" i="13"/>
  <c r="E143" i="13" s="1"/>
  <c r="D145" i="13"/>
  <c r="E145" i="13" s="1"/>
  <c r="D147" i="13"/>
  <c r="E147" i="13" s="1"/>
  <c r="D149" i="13"/>
  <c r="E149" i="13" s="1"/>
  <c r="D10" i="13"/>
  <c r="E10" i="13" s="1"/>
  <c r="D14" i="13"/>
  <c r="E14" i="13" s="1"/>
  <c r="D18" i="13"/>
  <c r="E18" i="13" s="1"/>
  <c r="D22" i="13"/>
  <c r="E22" i="13" s="1"/>
  <c r="D26" i="13"/>
  <c r="E26" i="13" s="1"/>
  <c r="D30" i="13"/>
  <c r="E30" i="13" s="1"/>
  <c r="D34" i="13"/>
  <c r="E34" i="13" s="1"/>
  <c r="D38" i="13"/>
  <c r="E38" i="13" s="1"/>
  <c r="D42" i="13"/>
  <c r="E42" i="13" s="1"/>
  <c r="D46" i="13"/>
  <c r="E46" i="13" s="1"/>
  <c r="D50" i="13"/>
  <c r="E50" i="13" s="1"/>
  <c r="D54" i="13"/>
  <c r="E54" i="13" s="1"/>
  <c r="D58" i="13"/>
  <c r="E58" i="13" s="1"/>
  <c r="D62" i="13"/>
  <c r="E62" i="13" s="1"/>
  <c r="D66" i="13"/>
  <c r="E66" i="13" s="1"/>
  <c r="D70" i="13"/>
  <c r="E70" i="13" s="1"/>
  <c r="D74" i="13"/>
  <c r="E74" i="13" s="1"/>
  <c r="D78" i="13"/>
  <c r="E78" i="13" s="1"/>
  <c r="D82" i="13"/>
  <c r="E82" i="13" s="1"/>
  <c r="D86" i="13"/>
  <c r="E86" i="13" s="1"/>
  <c r="D90" i="13"/>
  <c r="E90" i="13" s="1"/>
  <c r="D94" i="13"/>
  <c r="E94" i="13" s="1"/>
  <c r="D98" i="13"/>
  <c r="E98" i="13" s="1"/>
  <c r="D102" i="13"/>
  <c r="E102" i="13" s="1"/>
  <c r="D106" i="13"/>
  <c r="E106" i="13" s="1"/>
  <c r="D110" i="13"/>
  <c r="E110" i="13" s="1"/>
  <c r="D114" i="13"/>
  <c r="E114" i="13" s="1"/>
  <c r="D118" i="13"/>
  <c r="E118" i="13" s="1"/>
  <c r="D122" i="13"/>
  <c r="E122" i="13" s="1"/>
  <c r="D126" i="13"/>
  <c r="E126" i="13" s="1"/>
  <c r="D130" i="13"/>
  <c r="E130" i="13" s="1"/>
  <c r="D134" i="13"/>
  <c r="E134" i="13" s="1"/>
  <c r="D138" i="13"/>
  <c r="E138" i="13" s="1"/>
  <c r="D142" i="13"/>
  <c r="E142" i="13" s="1"/>
  <c r="D146" i="13"/>
  <c r="E146" i="13" s="1"/>
  <c r="D150" i="13"/>
  <c r="E150" i="13" s="1"/>
  <c r="D152" i="13"/>
  <c r="E152" i="13" s="1"/>
  <c r="D154" i="13"/>
  <c r="E154" i="13" s="1"/>
  <c r="D156" i="13"/>
  <c r="E156" i="13" s="1"/>
  <c r="D158" i="13"/>
  <c r="E158" i="13" s="1"/>
  <c r="D160" i="13"/>
  <c r="E160" i="13" s="1"/>
  <c r="D162" i="13"/>
  <c r="E162" i="13" s="1"/>
  <c r="D164" i="13"/>
  <c r="E164" i="13" s="1"/>
  <c r="D166" i="13"/>
  <c r="E166" i="13" s="1"/>
  <c r="D168" i="13"/>
  <c r="E168" i="13" s="1"/>
  <c r="D170" i="13"/>
  <c r="E170" i="13" s="1"/>
  <c r="D172" i="13"/>
  <c r="E172" i="13" s="1"/>
  <c r="D174" i="13"/>
  <c r="E174" i="13" s="1"/>
  <c r="D176" i="13"/>
  <c r="E176" i="13" s="1"/>
  <c r="D178" i="13"/>
  <c r="E178" i="13" s="1"/>
  <c r="D180" i="13"/>
  <c r="E180" i="13" s="1"/>
  <c r="D182" i="13"/>
  <c r="E182" i="13" s="1"/>
  <c r="D184" i="13"/>
  <c r="E184" i="13" s="1"/>
  <c r="D186" i="13"/>
  <c r="E186" i="13" s="1"/>
  <c r="D8" i="13"/>
  <c r="E8" i="13" s="1"/>
  <c r="D12" i="13"/>
  <c r="E12" i="13" s="1"/>
  <c r="D16" i="13"/>
  <c r="E16" i="13" s="1"/>
  <c r="D20" i="13"/>
  <c r="E20" i="13" s="1"/>
  <c r="D24" i="13"/>
  <c r="E24" i="13" s="1"/>
  <c r="D28" i="13"/>
  <c r="E28" i="13" s="1"/>
  <c r="D32" i="13"/>
  <c r="E32" i="13" s="1"/>
  <c r="D36" i="13"/>
  <c r="E36" i="13" s="1"/>
  <c r="D40" i="13"/>
  <c r="E40" i="13" s="1"/>
  <c r="D44" i="13"/>
  <c r="E44" i="13" s="1"/>
  <c r="D48" i="13"/>
  <c r="E48" i="13" s="1"/>
  <c r="D52" i="13"/>
  <c r="E52" i="13" s="1"/>
  <c r="D56" i="13"/>
  <c r="E56" i="13" s="1"/>
  <c r="D60" i="13"/>
  <c r="E60" i="13" s="1"/>
  <c r="D64" i="13"/>
  <c r="E64" i="13" s="1"/>
  <c r="D68" i="13"/>
  <c r="E68" i="13" s="1"/>
  <c r="D72" i="13"/>
  <c r="E72" i="13" s="1"/>
  <c r="D76" i="13"/>
  <c r="E76" i="13" s="1"/>
  <c r="D80" i="13"/>
  <c r="E80" i="13" s="1"/>
  <c r="D84" i="13"/>
  <c r="E84" i="13" s="1"/>
  <c r="D88" i="13"/>
  <c r="E88" i="13" s="1"/>
  <c r="D92" i="13"/>
  <c r="E92" i="13" s="1"/>
  <c r="D96" i="13"/>
  <c r="E96" i="13" s="1"/>
  <c r="D100" i="13"/>
  <c r="E100" i="13" s="1"/>
  <c r="D104" i="13"/>
  <c r="E104" i="13" s="1"/>
  <c r="D108" i="13"/>
  <c r="E108" i="13" s="1"/>
  <c r="D112" i="13"/>
  <c r="E112" i="13" s="1"/>
  <c r="D116" i="13"/>
  <c r="E116" i="13" s="1"/>
  <c r="D7" i="13"/>
  <c r="D183" i="13"/>
  <c r="E183" i="13" s="1"/>
  <c r="D179" i="13"/>
  <c r="E179" i="13" s="1"/>
  <c r="D175" i="13"/>
  <c r="E175" i="13" s="1"/>
  <c r="D171" i="13"/>
  <c r="E171" i="13" s="1"/>
  <c r="D167" i="13"/>
  <c r="E167" i="13" s="1"/>
  <c r="D163" i="13"/>
  <c r="E163" i="13" s="1"/>
  <c r="D159" i="13"/>
  <c r="E159" i="13" s="1"/>
  <c r="D155" i="13"/>
  <c r="E155" i="13" s="1"/>
  <c r="D151" i="13"/>
  <c r="E151" i="13" s="1"/>
  <c r="D144" i="13"/>
  <c r="E144" i="13" s="1"/>
  <c r="D136" i="13"/>
  <c r="E136" i="13" s="1"/>
  <c r="D128" i="13"/>
  <c r="E128" i="13" s="1"/>
  <c r="D120" i="13"/>
  <c r="E120" i="13" s="1"/>
  <c r="D32" i="7"/>
  <c r="D31" i="7"/>
  <c r="D33" i="8"/>
  <c r="D32" i="8"/>
  <c r="B41" i="11" s="1"/>
  <c r="K9" i="11"/>
  <c r="AG43" i="11" l="1"/>
  <c r="AB43" i="11"/>
  <c r="E5" i="13"/>
  <c r="D3" i="13"/>
  <c r="E6" i="13"/>
  <c r="B44" i="11"/>
  <c r="F181" i="13"/>
  <c r="F8" i="13"/>
  <c r="F16" i="13"/>
  <c r="F24" i="13"/>
  <c r="F32" i="13"/>
  <c r="F40" i="13"/>
  <c r="F48" i="13"/>
  <c r="F56" i="13"/>
  <c r="F60" i="13"/>
  <c r="F64" i="13"/>
  <c r="F68" i="13"/>
  <c r="F72" i="13"/>
  <c r="F76" i="13"/>
  <c r="F80" i="13"/>
  <c r="F84" i="13"/>
  <c r="F88" i="13"/>
  <c r="F92" i="13"/>
  <c r="F96" i="13"/>
  <c r="F100" i="13"/>
  <c r="F104" i="13"/>
  <c r="F108" i="13"/>
  <c r="F112" i="13"/>
  <c r="F116" i="13"/>
  <c r="F124" i="13"/>
  <c r="F128" i="13"/>
  <c r="F132" i="13"/>
  <c r="F136" i="13"/>
  <c r="F140" i="13"/>
  <c r="F144" i="13"/>
  <c r="F148" i="13"/>
  <c r="F152" i="13"/>
  <c r="F156" i="13"/>
  <c r="F160" i="13"/>
  <c r="F164" i="13"/>
  <c r="F168" i="13"/>
  <c r="F172" i="13"/>
  <c r="F9" i="13"/>
  <c r="F17" i="13"/>
  <c r="F25" i="13"/>
  <c r="F33" i="13"/>
  <c r="F41" i="13"/>
  <c r="F49" i="13"/>
  <c r="F57" i="13"/>
  <c r="F65" i="13"/>
  <c r="F73" i="13"/>
  <c r="F81" i="13"/>
  <c r="F89" i="13"/>
  <c r="F97" i="13"/>
  <c r="F105" i="13"/>
  <c r="F113" i="13"/>
  <c r="F121" i="13"/>
  <c r="F129" i="13"/>
  <c r="F137" i="13"/>
  <c r="F145" i="13"/>
  <c r="F153" i="13"/>
  <c r="F161" i="13"/>
  <c r="F169" i="13"/>
  <c r="F176" i="13"/>
  <c r="F180" i="13"/>
  <c r="F184" i="13"/>
  <c r="F5" i="13"/>
  <c r="G6" i="13" s="1"/>
  <c r="F23" i="13"/>
  <c r="F39" i="13"/>
  <c r="F55" i="13"/>
  <c r="F71" i="13"/>
  <c r="F87" i="13"/>
  <c r="F103" i="13"/>
  <c r="F119" i="13"/>
  <c r="F135" i="13"/>
  <c r="F151" i="13"/>
  <c r="F167" i="13"/>
  <c r="F179" i="13"/>
  <c r="F11" i="13"/>
  <c r="F91" i="13"/>
  <c r="F27" i="13"/>
  <c r="F139" i="13"/>
  <c r="F75" i="13"/>
  <c r="F10" i="13"/>
  <c r="F14" i="13"/>
  <c r="F18" i="13"/>
  <c r="F22" i="13"/>
  <c r="F26" i="13"/>
  <c r="F30" i="13"/>
  <c r="F34" i="13"/>
  <c r="F38" i="13"/>
  <c r="F42" i="13"/>
  <c r="F46" i="13"/>
  <c r="F50" i="13"/>
  <c r="F54" i="13"/>
  <c r="F58" i="13"/>
  <c r="F62" i="13"/>
  <c r="F66" i="13"/>
  <c r="F70" i="13"/>
  <c r="F74" i="13"/>
  <c r="F78" i="13"/>
  <c r="F82" i="13"/>
  <c r="F86" i="13"/>
  <c r="F90" i="13"/>
  <c r="F94" i="13"/>
  <c r="F98" i="13"/>
  <c r="F102" i="13"/>
  <c r="F106" i="13"/>
  <c r="F110" i="13"/>
  <c r="F114" i="13"/>
  <c r="F118" i="13"/>
  <c r="F122" i="13"/>
  <c r="F126" i="13"/>
  <c r="F130" i="13"/>
  <c r="F134" i="13"/>
  <c r="F138" i="13"/>
  <c r="F142" i="13"/>
  <c r="F146" i="13"/>
  <c r="F150" i="13"/>
  <c r="F154" i="13"/>
  <c r="F158" i="13"/>
  <c r="F162" i="13"/>
  <c r="F166" i="13"/>
  <c r="F170" i="13"/>
  <c r="F174" i="13"/>
  <c r="F13" i="13"/>
  <c r="F21" i="13"/>
  <c r="F29" i="13"/>
  <c r="F37" i="13"/>
  <c r="F45" i="13"/>
  <c r="F53" i="13"/>
  <c r="F61" i="13"/>
  <c r="F69" i="13"/>
  <c r="F77" i="13"/>
  <c r="F85" i="13"/>
  <c r="F93" i="13"/>
  <c r="F101" i="13"/>
  <c r="F109" i="13"/>
  <c r="F117" i="13"/>
  <c r="F35" i="13"/>
  <c r="F67" i="13"/>
  <c r="F99" i="13"/>
  <c r="F131" i="13"/>
  <c r="F163" i="13"/>
  <c r="F185" i="13"/>
  <c r="F175" i="13"/>
  <c r="F143" i="13"/>
  <c r="F111" i="13"/>
  <c r="F79" i="13"/>
  <c r="F47" i="13"/>
  <c r="F15" i="13"/>
  <c r="F182" i="13"/>
  <c r="F173" i="13"/>
  <c r="F157" i="13"/>
  <c r="F141" i="13"/>
  <c r="F125" i="13"/>
  <c r="F155" i="13"/>
  <c r="F171" i="13"/>
  <c r="F123" i="13"/>
  <c r="F107" i="13"/>
  <c r="F59" i="13"/>
  <c r="F43" i="13"/>
  <c r="F19" i="13"/>
  <c r="F51" i="13"/>
  <c r="F83" i="13"/>
  <c r="F115" i="13"/>
  <c r="F147" i="13"/>
  <c r="F177" i="13"/>
  <c r="F183" i="13"/>
  <c r="F159" i="13"/>
  <c r="F127" i="13"/>
  <c r="F95" i="13"/>
  <c r="F63" i="13"/>
  <c r="F31" i="13"/>
  <c r="F186" i="13"/>
  <c r="F178" i="13"/>
  <c r="F165" i="13"/>
  <c r="F149" i="13"/>
  <c r="F133" i="13"/>
  <c r="F120" i="13"/>
  <c r="F52" i="13"/>
  <c r="F44" i="13"/>
  <c r="F36" i="13"/>
  <c r="F28" i="13"/>
  <c r="F20" i="13"/>
  <c r="F12" i="13"/>
  <c r="E7" i="13"/>
  <c r="F7" i="13" s="1"/>
  <c r="AG44" i="11" l="1"/>
  <c r="AB44" i="11"/>
  <c r="F3" i="13"/>
  <c r="E3" i="13"/>
  <c r="E2" i="13"/>
  <c r="AG45" i="11" l="1"/>
  <c r="AB45" i="11"/>
  <c r="D15" i="7"/>
  <c r="AG46" i="11" l="1"/>
  <c r="AB46" i="11"/>
  <c r="L37" i="11"/>
  <c r="I37" i="11"/>
  <c r="D19" i="10"/>
  <c r="D18" i="10"/>
  <c r="D18" i="9"/>
  <c r="D19" i="9"/>
  <c r="AG47" i="11" l="1"/>
  <c r="AB47" i="11"/>
  <c r="L8" i="9"/>
  <c r="G160" i="13"/>
  <c r="G111" i="13"/>
  <c r="G54" i="13"/>
  <c r="G159" i="13"/>
  <c r="G102" i="13"/>
  <c r="G53" i="13"/>
  <c r="G182" i="13"/>
  <c r="G174" i="13"/>
  <c r="G166" i="13"/>
  <c r="G158" i="13"/>
  <c r="G150" i="13"/>
  <c r="G142" i="13"/>
  <c r="G134" i="13"/>
  <c r="G125" i="13"/>
  <c r="G117" i="13"/>
  <c r="G109" i="13"/>
  <c r="G101" i="13"/>
  <c r="G93" i="13"/>
  <c r="G84" i="13"/>
  <c r="G76" i="13"/>
  <c r="G68" i="13"/>
  <c r="G60" i="13"/>
  <c r="G52" i="13"/>
  <c r="G44" i="13"/>
  <c r="G86" i="13"/>
  <c r="G135" i="13"/>
  <c r="G165" i="13"/>
  <c r="G149" i="13"/>
  <c r="G132" i="13"/>
  <c r="G124" i="13"/>
  <c r="G116" i="13"/>
  <c r="G108" i="13"/>
  <c r="G100" i="13"/>
  <c r="G92" i="13"/>
  <c r="G83" i="13"/>
  <c r="G75" i="13"/>
  <c r="G67" i="13"/>
  <c r="G59" i="13"/>
  <c r="G51" i="13"/>
  <c r="G43" i="13"/>
  <c r="G176" i="13"/>
  <c r="G136" i="13"/>
  <c r="G95" i="13"/>
  <c r="G78" i="13"/>
  <c r="G183" i="13"/>
  <c r="G61" i="13"/>
  <c r="G173" i="13"/>
  <c r="G157" i="13"/>
  <c r="G141" i="13"/>
  <c r="G180" i="13"/>
  <c r="G172" i="13"/>
  <c r="G164" i="13"/>
  <c r="G156" i="13"/>
  <c r="G148" i="13"/>
  <c r="G140" i="13"/>
  <c r="G131" i="13"/>
  <c r="G123" i="13"/>
  <c r="G115" i="13"/>
  <c r="G107" i="13"/>
  <c r="G99" i="13"/>
  <c r="G91" i="13"/>
  <c r="G82" i="13"/>
  <c r="G74" i="13"/>
  <c r="G66" i="13"/>
  <c r="G58" i="13"/>
  <c r="G50" i="13"/>
  <c r="G168" i="13"/>
  <c r="G127" i="13"/>
  <c r="G70" i="13"/>
  <c r="G175" i="13"/>
  <c r="G118" i="13"/>
  <c r="G85" i="13"/>
  <c r="G179" i="13"/>
  <c r="G163" i="13"/>
  <c r="G155" i="13"/>
  <c r="G147" i="13"/>
  <c r="G139" i="13"/>
  <c r="G130" i="13"/>
  <c r="G122" i="13"/>
  <c r="G114" i="13"/>
  <c r="G106" i="13"/>
  <c r="G98" i="13"/>
  <c r="G90" i="13"/>
  <c r="G81" i="13"/>
  <c r="G73" i="13"/>
  <c r="G65" i="13"/>
  <c r="G57" i="13"/>
  <c r="G49" i="13"/>
  <c r="G152" i="13"/>
  <c r="G119" i="13"/>
  <c r="G46" i="13"/>
  <c r="G167" i="13"/>
  <c r="G126" i="13"/>
  <c r="G94" i="13"/>
  <c r="G77" i="13"/>
  <c r="G181" i="13"/>
  <c r="G186" i="13"/>
  <c r="G170" i="13"/>
  <c r="G154" i="13"/>
  <c r="G146" i="13"/>
  <c r="G138" i="13"/>
  <c r="G129" i="13"/>
  <c r="G121" i="13"/>
  <c r="G113" i="13"/>
  <c r="G105" i="13"/>
  <c r="G97" i="13"/>
  <c r="G89" i="13"/>
  <c r="G80" i="13"/>
  <c r="G72" i="13"/>
  <c r="G64" i="13"/>
  <c r="G56" i="13"/>
  <c r="G48" i="13"/>
  <c r="G184" i="13"/>
  <c r="G144" i="13"/>
  <c r="G103" i="13"/>
  <c r="G62" i="13"/>
  <c r="G143" i="13"/>
  <c r="G45" i="13"/>
  <c r="G171" i="13"/>
  <c r="G178" i="13"/>
  <c r="G162" i="13"/>
  <c r="G185" i="13"/>
  <c r="G177" i="13"/>
  <c r="G169" i="13"/>
  <c r="G161" i="13"/>
  <c r="G153" i="13"/>
  <c r="G145" i="13"/>
  <c r="G137" i="13"/>
  <c r="G128" i="13"/>
  <c r="G120" i="13"/>
  <c r="G112" i="13"/>
  <c r="G104" i="13"/>
  <c r="G96" i="13"/>
  <c r="G88" i="13"/>
  <c r="G79" i="13"/>
  <c r="G71" i="13"/>
  <c r="G63" i="13"/>
  <c r="G55" i="13"/>
  <c r="G47" i="13"/>
  <c r="D16" i="10"/>
  <c r="D23" i="10"/>
  <c r="D23" i="9"/>
  <c r="D21" i="7"/>
  <c r="D22" i="8"/>
  <c r="D20" i="10"/>
  <c r="D20" i="9"/>
  <c r="D20" i="7"/>
  <c r="D21" i="8"/>
  <c r="D19" i="7"/>
  <c r="D20" i="8"/>
  <c r="D11" i="10"/>
  <c r="D11" i="9"/>
  <c r="L9" i="9" s="1"/>
  <c r="U9" i="9" s="1"/>
  <c r="D10" i="7"/>
  <c r="D11" i="8"/>
  <c r="AG48" i="11" l="1"/>
  <c r="AB48" i="11"/>
  <c r="M9" i="9"/>
  <c r="N8" i="9"/>
  <c r="AB10" i="9" s="1"/>
  <c r="G133" i="13"/>
  <c r="G69" i="13"/>
  <c r="G110" i="13"/>
  <c r="G87" i="13"/>
  <c r="G151" i="13"/>
  <c r="L9" i="10"/>
  <c r="N9" i="10"/>
  <c r="AA10" i="10" s="1"/>
  <c r="M9" i="10" l="1"/>
  <c r="T9" i="10"/>
  <c r="AG49" i="11"/>
  <c r="AB49" i="11"/>
  <c r="X10" i="10"/>
  <c r="Y10" i="9"/>
  <c r="T10" i="9"/>
  <c r="D12" i="9"/>
  <c r="O8" i="9" s="1"/>
  <c r="O85" i="8"/>
  <c r="O86" i="8"/>
  <c r="O91" i="8"/>
  <c r="O93" i="8"/>
  <c r="O95" i="8"/>
  <c r="O99" i="8"/>
  <c r="O101" i="8"/>
  <c r="O103" i="8"/>
  <c r="O105" i="8"/>
  <c r="O109" i="8"/>
  <c r="O111" i="8"/>
  <c r="O113" i="8"/>
  <c r="O117" i="8"/>
  <c r="O118" i="8"/>
  <c r="O121" i="8"/>
  <c r="O125" i="8"/>
  <c r="O126" i="8"/>
  <c r="O129" i="8"/>
  <c r="O131" i="8"/>
  <c r="O134" i="8"/>
  <c r="O137" i="8"/>
  <c r="O139" i="8"/>
  <c r="O142" i="8"/>
  <c r="O143" i="8"/>
  <c r="O147" i="8"/>
  <c r="O150" i="8"/>
  <c r="O151" i="8"/>
  <c r="O155" i="8"/>
  <c r="O157" i="8"/>
  <c r="O159" i="8"/>
  <c r="O163" i="8"/>
  <c r="O165" i="8"/>
  <c r="O167" i="8"/>
  <c r="O169" i="8"/>
  <c r="O173" i="8"/>
  <c r="O175" i="8"/>
  <c r="O177" i="8"/>
  <c r="O181" i="8"/>
  <c r="O182" i="8"/>
  <c r="O185" i="8"/>
  <c r="O189" i="8"/>
  <c r="O190" i="8"/>
  <c r="M84" i="8"/>
  <c r="M86" i="8"/>
  <c r="M88" i="8"/>
  <c r="M90" i="8"/>
  <c r="M94" i="8"/>
  <c r="M96" i="8"/>
  <c r="M98" i="8"/>
  <c r="M102" i="8"/>
  <c r="M103" i="8"/>
  <c r="M106" i="8"/>
  <c r="M110" i="8"/>
  <c r="M111" i="8"/>
  <c r="M114" i="8"/>
  <c r="M116" i="8"/>
  <c r="M118" i="8"/>
  <c r="M119" i="8"/>
  <c r="M122" i="8"/>
  <c r="M124" i="8"/>
  <c r="M127" i="8"/>
  <c r="M128" i="8"/>
  <c r="M130" i="8"/>
  <c r="M132" i="8"/>
  <c r="M135" i="8"/>
  <c r="M136" i="8"/>
  <c r="M140" i="8"/>
  <c r="M142" i="8"/>
  <c r="M143" i="8"/>
  <c r="M144" i="8"/>
  <c r="M148" i="8"/>
  <c r="M150" i="8"/>
  <c r="M152" i="8"/>
  <c r="M154" i="8"/>
  <c r="M156" i="8"/>
  <c r="M158" i="8"/>
  <c r="M159" i="8"/>
  <c r="M160" i="8"/>
  <c r="M161" i="8"/>
  <c r="M162" i="8"/>
  <c r="M164" i="8"/>
  <c r="M166" i="8"/>
  <c r="M167" i="8"/>
  <c r="M168" i="8"/>
  <c r="M169" i="8"/>
  <c r="M170" i="8"/>
  <c r="M172" i="8"/>
  <c r="M174" i="8"/>
  <c r="M175" i="8"/>
  <c r="M176" i="8"/>
  <c r="M177" i="8"/>
  <c r="M178" i="8"/>
  <c r="M180" i="8"/>
  <c r="M182" i="8"/>
  <c r="M183" i="8"/>
  <c r="M184" i="8"/>
  <c r="M185" i="8"/>
  <c r="M186" i="8"/>
  <c r="M188" i="8"/>
  <c r="M190" i="8"/>
  <c r="AG50" i="11" l="1"/>
  <c r="AB50" i="11"/>
  <c r="V9" i="9"/>
  <c r="N188" i="8"/>
  <c r="N185" i="8"/>
  <c r="N183" i="8"/>
  <c r="N180" i="8"/>
  <c r="N177" i="8"/>
  <c r="N175" i="8"/>
  <c r="N172" i="8"/>
  <c r="N169" i="8"/>
  <c r="N167" i="8"/>
  <c r="N164" i="8"/>
  <c r="N161" i="8"/>
  <c r="N159" i="8"/>
  <c r="N156" i="8"/>
  <c r="N152" i="8"/>
  <c r="N148" i="8"/>
  <c r="N143" i="8"/>
  <c r="N140" i="8"/>
  <c r="N135" i="8"/>
  <c r="N130" i="8"/>
  <c r="N127" i="8"/>
  <c r="N122" i="8"/>
  <c r="N118" i="8"/>
  <c r="N114" i="8"/>
  <c r="N110" i="8"/>
  <c r="N103" i="8"/>
  <c r="N98" i="8"/>
  <c r="N94" i="8"/>
  <c r="N88" i="8"/>
  <c r="N84" i="8"/>
  <c r="N190" i="8"/>
  <c r="N186" i="8"/>
  <c r="N184" i="8"/>
  <c r="N182" i="8"/>
  <c r="N178" i="8"/>
  <c r="N176" i="8"/>
  <c r="N174" i="8"/>
  <c r="N170" i="8"/>
  <c r="N168" i="8"/>
  <c r="N166" i="8"/>
  <c r="N162" i="8"/>
  <c r="N160" i="8"/>
  <c r="N158" i="8"/>
  <c r="N154" i="8"/>
  <c r="N150" i="8"/>
  <c r="N144" i="8"/>
  <c r="N142" i="8"/>
  <c r="N136" i="8"/>
  <c r="N132" i="8"/>
  <c r="N128" i="8"/>
  <c r="N124" i="8"/>
  <c r="N119" i="8"/>
  <c r="N116" i="8"/>
  <c r="N111" i="8"/>
  <c r="N106" i="8"/>
  <c r="N102" i="8"/>
  <c r="N96" i="8"/>
  <c r="N90" i="8"/>
  <c r="N86" i="8"/>
  <c r="M151" i="8"/>
  <c r="M138" i="8"/>
  <c r="M126" i="8"/>
  <c r="M112" i="8"/>
  <c r="M100" i="8"/>
  <c r="M87" i="8"/>
  <c r="O179" i="8"/>
  <c r="O166" i="8"/>
  <c r="O153" i="8"/>
  <c r="O141" i="8"/>
  <c r="O127" i="8"/>
  <c r="O115" i="8"/>
  <c r="O102" i="8"/>
  <c r="O87" i="8"/>
  <c r="M146" i="8"/>
  <c r="M134" i="8"/>
  <c r="M120" i="8"/>
  <c r="M108" i="8"/>
  <c r="M95" i="8"/>
  <c r="O187" i="8"/>
  <c r="O174" i="8"/>
  <c r="O161" i="8"/>
  <c r="O149" i="8"/>
  <c r="O135" i="8"/>
  <c r="O123" i="8"/>
  <c r="O110" i="8"/>
  <c r="O97" i="8"/>
  <c r="O83" i="8"/>
  <c r="M104" i="8"/>
  <c r="M92" i="8"/>
  <c r="O183" i="8"/>
  <c r="O171" i="8"/>
  <c r="O158" i="8"/>
  <c r="O145" i="8"/>
  <c r="O133" i="8"/>
  <c r="O119" i="8"/>
  <c r="O107" i="8"/>
  <c r="O94" i="8"/>
  <c r="M189" i="8"/>
  <c r="M181" i="8"/>
  <c r="M173" i="8"/>
  <c r="M165" i="8"/>
  <c r="M157" i="8"/>
  <c r="M149" i="8"/>
  <c r="M141" i="8"/>
  <c r="M133" i="8"/>
  <c r="M125" i="8"/>
  <c r="M117" i="8"/>
  <c r="M109" i="8"/>
  <c r="M101" i="8"/>
  <c r="M93" i="8"/>
  <c r="M85" i="8"/>
  <c r="O188" i="8"/>
  <c r="O180" i="8"/>
  <c r="O172" i="8"/>
  <c r="O164" i="8"/>
  <c r="O156" i="8"/>
  <c r="O148" i="8"/>
  <c r="O140" i="8"/>
  <c r="O132" i="8"/>
  <c r="O124" i="8"/>
  <c r="O116" i="8"/>
  <c r="O108" i="8"/>
  <c r="O100" i="8"/>
  <c r="O92" i="8"/>
  <c r="O84" i="8"/>
  <c r="M187" i="8"/>
  <c r="M179" i="8"/>
  <c r="M171" i="8"/>
  <c r="M163" i="8"/>
  <c r="M155" i="8"/>
  <c r="M147" i="8"/>
  <c r="M139" i="8"/>
  <c r="M131" i="8"/>
  <c r="M123" i="8"/>
  <c r="M115" i="8"/>
  <c r="M107" i="8"/>
  <c r="M99" i="8"/>
  <c r="M91" i="8"/>
  <c r="M83" i="8"/>
  <c r="O186" i="8"/>
  <c r="O178" i="8"/>
  <c r="O170" i="8"/>
  <c r="O162" i="8"/>
  <c r="O154" i="8"/>
  <c r="O146" i="8"/>
  <c r="O138" i="8"/>
  <c r="O130" i="8"/>
  <c r="O122" i="8"/>
  <c r="O114" i="8"/>
  <c r="O106" i="8"/>
  <c r="O98" i="8"/>
  <c r="O90" i="8"/>
  <c r="O82" i="8"/>
  <c r="O89" i="8"/>
  <c r="M153" i="8"/>
  <c r="M145" i="8"/>
  <c r="M137" i="8"/>
  <c r="M129" i="8"/>
  <c r="M121" i="8"/>
  <c r="M113" i="8"/>
  <c r="M105" i="8"/>
  <c r="M97" i="8"/>
  <c r="M89" i="8"/>
  <c r="O184" i="8"/>
  <c r="O176" i="8"/>
  <c r="O168" i="8"/>
  <c r="O160" i="8"/>
  <c r="O152" i="8"/>
  <c r="O144" i="8"/>
  <c r="O136" i="8"/>
  <c r="O128" i="8"/>
  <c r="O120" i="8"/>
  <c r="O112" i="8"/>
  <c r="O104" i="8"/>
  <c r="O96" i="8"/>
  <c r="O88" i="8"/>
  <c r="AG51" i="11" l="1"/>
  <c r="AB51" i="11"/>
  <c r="Z9" i="9"/>
  <c r="AA9" i="9" s="1"/>
  <c r="N97" i="8"/>
  <c r="N113" i="8"/>
  <c r="N129" i="8"/>
  <c r="N145" i="8"/>
  <c r="N83" i="8"/>
  <c r="N99" i="8"/>
  <c r="N115" i="8"/>
  <c r="N131" i="8"/>
  <c r="N147" i="8"/>
  <c r="N163" i="8"/>
  <c r="N179" i="8"/>
  <c r="N85" i="8"/>
  <c r="N101" i="8"/>
  <c r="N117" i="8"/>
  <c r="N133" i="8"/>
  <c r="N149" i="8"/>
  <c r="N165" i="8"/>
  <c r="N181" i="8"/>
  <c r="N104" i="8"/>
  <c r="N108" i="8"/>
  <c r="N134" i="8"/>
  <c r="N100" i="8"/>
  <c r="N126" i="8"/>
  <c r="N151" i="8"/>
  <c r="N89" i="8"/>
  <c r="N105" i="8"/>
  <c r="N121" i="8"/>
  <c r="N137" i="8"/>
  <c r="N153" i="8"/>
  <c r="N91" i="8"/>
  <c r="N107" i="8"/>
  <c r="N123" i="8"/>
  <c r="N139" i="8"/>
  <c r="N155" i="8"/>
  <c r="N171" i="8"/>
  <c r="N187" i="8"/>
  <c r="N93" i="8"/>
  <c r="N109" i="8"/>
  <c r="N125" i="8"/>
  <c r="N141" i="8"/>
  <c r="N157" i="8"/>
  <c r="N173" i="8"/>
  <c r="N189" i="8"/>
  <c r="N92" i="8"/>
  <c r="N95" i="8"/>
  <c r="N120" i="8"/>
  <c r="N146" i="8"/>
  <c r="N87" i="8"/>
  <c r="N112" i="8"/>
  <c r="N138" i="8"/>
  <c r="S9" i="9"/>
  <c r="AG52" i="11" l="1"/>
  <c r="AB52" i="11"/>
  <c r="I94" i="10"/>
  <c r="I144" i="10"/>
  <c r="D17" i="10"/>
  <c r="I48" i="10"/>
  <c r="D12" i="10"/>
  <c r="D11" i="7"/>
  <c r="D12" i="7" s="1"/>
  <c r="D13" i="9"/>
  <c r="J83" i="7"/>
  <c r="J87" i="7"/>
  <c r="J91" i="7"/>
  <c r="J95" i="7"/>
  <c r="J99" i="7"/>
  <c r="J103" i="7"/>
  <c r="J107" i="7"/>
  <c r="J111" i="7"/>
  <c r="J115" i="7"/>
  <c r="J119" i="7"/>
  <c r="J123" i="7"/>
  <c r="J127" i="7"/>
  <c r="J131" i="7"/>
  <c r="J135" i="7"/>
  <c r="J139" i="7"/>
  <c r="J143" i="7"/>
  <c r="J147" i="7"/>
  <c r="J151" i="7"/>
  <c r="J155" i="7"/>
  <c r="J159" i="7"/>
  <c r="J163" i="7"/>
  <c r="J167" i="7"/>
  <c r="J171" i="7"/>
  <c r="J175" i="7"/>
  <c r="J179" i="7"/>
  <c r="J183" i="7"/>
  <c r="J187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AG53" i="11" l="1"/>
  <c r="AB53" i="11"/>
  <c r="X64" i="9"/>
  <c r="X48" i="9"/>
  <c r="X32" i="9"/>
  <c r="X16" i="9"/>
  <c r="X15" i="9"/>
  <c r="X23" i="9"/>
  <c r="X31" i="9"/>
  <c r="X39" i="9"/>
  <c r="X47" i="9"/>
  <c r="X55" i="9"/>
  <c r="X63" i="9"/>
  <c r="X68" i="9"/>
  <c r="X52" i="9"/>
  <c r="X36" i="9"/>
  <c r="X20" i="9"/>
  <c r="X17" i="9"/>
  <c r="X25" i="9"/>
  <c r="X33" i="9"/>
  <c r="X41" i="9"/>
  <c r="X49" i="9"/>
  <c r="X57" i="9"/>
  <c r="X65" i="9"/>
  <c r="X12" i="9"/>
  <c r="X56" i="9"/>
  <c r="X40" i="9"/>
  <c r="X24" i="9"/>
  <c r="X11" i="9"/>
  <c r="X19" i="9"/>
  <c r="X27" i="9"/>
  <c r="X35" i="9"/>
  <c r="X43" i="9"/>
  <c r="X51" i="9"/>
  <c r="X59" i="9"/>
  <c r="X67" i="9"/>
  <c r="X60" i="9"/>
  <c r="X44" i="9"/>
  <c r="X28" i="9"/>
  <c r="X13" i="9"/>
  <c r="X21" i="9"/>
  <c r="X29" i="9"/>
  <c r="X37" i="9"/>
  <c r="X45" i="9"/>
  <c r="X53" i="9"/>
  <c r="X61" i="9"/>
  <c r="X69" i="9"/>
  <c r="X66" i="9"/>
  <c r="X50" i="9"/>
  <c r="X34" i="9"/>
  <c r="X18" i="9"/>
  <c r="X62" i="9"/>
  <c r="X46" i="9"/>
  <c r="X30" i="9"/>
  <c r="X14" i="9"/>
  <c r="X58" i="9"/>
  <c r="X42" i="9"/>
  <c r="X26" i="9"/>
  <c r="X10" i="9"/>
  <c r="X54" i="9"/>
  <c r="X38" i="9"/>
  <c r="X22" i="9"/>
  <c r="D13" i="10"/>
  <c r="Q9" i="10" s="1"/>
  <c r="P10" i="10" s="1"/>
  <c r="O9" i="10"/>
  <c r="W70" i="10"/>
  <c r="W72" i="10"/>
  <c r="W74" i="10"/>
  <c r="W76" i="10"/>
  <c r="W78" i="10"/>
  <c r="W80" i="10"/>
  <c r="W82" i="10"/>
  <c r="W84" i="10"/>
  <c r="W86" i="10"/>
  <c r="W88" i="10"/>
  <c r="W90" i="10"/>
  <c r="W92" i="10"/>
  <c r="W94" i="10"/>
  <c r="W96" i="10"/>
  <c r="W98" i="10"/>
  <c r="W100" i="10"/>
  <c r="W102" i="10"/>
  <c r="W104" i="10"/>
  <c r="W106" i="10"/>
  <c r="W108" i="10"/>
  <c r="W110" i="10"/>
  <c r="W112" i="10"/>
  <c r="W114" i="10"/>
  <c r="W116" i="10"/>
  <c r="W118" i="10"/>
  <c r="W120" i="10"/>
  <c r="W122" i="10"/>
  <c r="W124" i="10"/>
  <c r="W126" i="10"/>
  <c r="W128" i="10"/>
  <c r="W130" i="10"/>
  <c r="W132" i="10"/>
  <c r="W134" i="10"/>
  <c r="W136" i="10"/>
  <c r="W138" i="10"/>
  <c r="W140" i="10"/>
  <c r="W142" i="10"/>
  <c r="W144" i="10"/>
  <c r="W146" i="10"/>
  <c r="W148" i="10"/>
  <c r="W150" i="10"/>
  <c r="W152" i="10"/>
  <c r="W154" i="10"/>
  <c r="W156" i="10"/>
  <c r="W158" i="10"/>
  <c r="W160" i="10"/>
  <c r="W162" i="10"/>
  <c r="W164" i="10"/>
  <c r="W166" i="10"/>
  <c r="W168" i="10"/>
  <c r="W170" i="10"/>
  <c r="W172" i="10"/>
  <c r="W174" i="10"/>
  <c r="W176" i="10"/>
  <c r="W178" i="10"/>
  <c r="W180" i="10"/>
  <c r="W71" i="10"/>
  <c r="W73" i="10"/>
  <c r="W75" i="10"/>
  <c r="W77" i="10"/>
  <c r="W79" i="10"/>
  <c r="W81" i="10"/>
  <c r="W83" i="10"/>
  <c r="W85" i="10"/>
  <c r="W87" i="10"/>
  <c r="W89" i="10"/>
  <c r="W91" i="10"/>
  <c r="W93" i="10"/>
  <c r="W95" i="10"/>
  <c r="W97" i="10"/>
  <c r="W99" i="10"/>
  <c r="W101" i="10"/>
  <c r="W103" i="10"/>
  <c r="W105" i="10"/>
  <c r="W107" i="10"/>
  <c r="W109" i="10"/>
  <c r="W111" i="10"/>
  <c r="W113" i="10"/>
  <c r="W115" i="10"/>
  <c r="W117" i="10"/>
  <c r="W119" i="10"/>
  <c r="W121" i="10"/>
  <c r="W123" i="10"/>
  <c r="W125" i="10"/>
  <c r="W127" i="10"/>
  <c r="W129" i="10"/>
  <c r="W131" i="10"/>
  <c r="W133" i="10"/>
  <c r="W135" i="10"/>
  <c r="W137" i="10"/>
  <c r="W139" i="10"/>
  <c r="W141" i="10"/>
  <c r="W143" i="10"/>
  <c r="W145" i="10"/>
  <c r="W147" i="10"/>
  <c r="W149" i="10"/>
  <c r="W151" i="10"/>
  <c r="W153" i="10"/>
  <c r="W155" i="10"/>
  <c r="W157" i="10"/>
  <c r="W159" i="10"/>
  <c r="W161" i="10"/>
  <c r="W163" i="10"/>
  <c r="W165" i="10"/>
  <c r="W167" i="10"/>
  <c r="W169" i="10"/>
  <c r="W171" i="10"/>
  <c r="W173" i="10"/>
  <c r="W175" i="10"/>
  <c r="W177" i="10"/>
  <c r="W179" i="10"/>
  <c r="W182" i="10"/>
  <c r="W184" i="10"/>
  <c r="W186" i="10"/>
  <c r="W188" i="10"/>
  <c r="W181" i="10"/>
  <c r="W183" i="10"/>
  <c r="W185" i="10"/>
  <c r="W187" i="10"/>
  <c r="W189" i="10"/>
  <c r="J188" i="7"/>
  <c r="J186" i="7"/>
  <c r="J184" i="7"/>
  <c r="J182" i="7"/>
  <c r="J180" i="7"/>
  <c r="J178" i="7"/>
  <c r="J176" i="7"/>
  <c r="J174" i="7"/>
  <c r="J172" i="7"/>
  <c r="J170" i="7"/>
  <c r="J168" i="7"/>
  <c r="J166" i="7"/>
  <c r="J164" i="7"/>
  <c r="J162" i="7"/>
  <c r="J160" i="7"/>
  <c r="J158" i="7"/>
  <c r="J156" i="7"/>
  <c r="J154" i="7"/>
  <c r="J152" i="7"/>
  <c r="J150" i="7"/>
  <c r="J148" i="7"/>
  <c r="J146" i="7"/>
  <c r="J144" i="7"/>
  <c r="J142" i="7"/>
  <c r="J140" i="7"/>
  <c r="J138" i="7"/>
  <c r="J136" i="7"/>
  <c r="J134" i="7"/>
  <c r="J132" i="7"/>
  <c r="J130" i="7"/>
  <c r="J128" i="7"/>
  <c r="J126" i="7"/>
  <c r="J124" i="7"/>
  <c r="J122" i="7"/>
  <c r="J120" i="7"/>
  <c r="J118" i="7"/>
  <c r="J116" i="7"/>
  <c r="J114" i="7"/>
  <c r="J112" i="7"/>
  <c r="J110" i="7"/>
  <c r="J108" i="7"/>
  <c r="J106" i="7"/>
  <c r="J104" i="7"/>
  <c r="J102" i="7"/>
  <c r="J100" i="7"/>
  <c r="J98" i="7"/>
  <c r="J96" i="7"/>
  <c r="J189" i="7"/>
  <c r="J185" i="7"/>
  <c r="J181" i="7"/>
  <c r="J177" i="7"/>
  <c r="J173" i="7"/>
  <c r="J169" i="7"/>
  <c r="J165" i="7"/>
  <c r="J161" i="7"/>
  <c r="J157" i="7"/>
  <c r="J153" i="7"/>
  <c r="J149" i="7"/>
  <c r="J145" i="7"/>
  <c r="J141" i="7"/>
  <c r="J137" i="7"/>
  <c r="J133" i="7"/>
  <c r="J129" i="7"/>
  <c r="J125" i="7"/>
  <c r="J121" i="7"/>
  <c r="J117" i="7"/>
  <c r="J113" i="7"/>
  <c r="J109" i="7"/>
  <c r="J105" i="7"/>
  <c r="J101" i="7"/>
  <c r="J97" i="7"/>
  <c r="J93" i="7"/>
  <c r="J89" i="7"/>
  <c r="J85" i="7"/>
  <c r="J94" i="7"/>
  <c r="J92" i="7"/>
  <c r="J90" i="7"/>
  <c r="J88" i="7"/>
  <c r="J86" i="7"/>
  <c r="J84" i="7"/>
  <c r="J82" i="7"/>
  <c r="R9" i="9"/>
  <c r="I83" i="10"/>
  <c r="I183" i="10"/>
  <c r="I131" i="10"/>
  <c r="I80" i="10"/>
  <c r="I11" i="10"/>
  <c r="J11" i="10" s="1"/>
  <c r="I174" i="10"/>
  <c r="I122" i="10"/>
  <c r="I71" i="10"/>
  <c r="J71" i="10" s="1"/>
  <c r="I170" i="10"/>
  <c r="I119" i="10"/>
  <c r="I67" i="10"/>
  <c r="J67" i="10" s="1"/>
  <c r="I186" i="10"/>
  <c r="I160" i="10"/>
  <c r="I110" i="10"/>
  <c r="I58" i="10"/>
  <c r="J58" i="10" s="1"/>
  <c r="I158" i="10"/>
  <c r="I106" i="10"/>
  <c r="I55" i="10"/>
  <c r="I135" i="10"/>
  <c r="I147" i="10"/>
  <c r="I96" i="10"/>
  <c r="I46" i="10"/>
  <c r="J46" i="10" s="1"/>
  <c r="I184" i="10"/>
  <c r="I171" i="10"/>
  <c r="I159" i="10"/>
  <c r="I146" i="10"/>
  <c r="I134" i="10"/>
  <c r="I120" i="10"/>
  <c r="I107" i="10"/>
  <c r="I95" i="10"/>
  <c r="I82" i="10"/>
  <c r="I70" i="10"/>
  <c r="J70" i="10" s="1"/>
  <c r="I56" i="10"/>
  <c r="J56" i="10" s="1"/>
  <c r="I182" i="10"/>
  <c r="I168" i="10"/>
  <c r="I155" i="10"/>
  <c r="I143" i="10"/>
  <c r="I130" i="10"/>
  <c r="I118" i="10"/>
  <c r="I104" i="10"/>
  <c r="I91" i="10"/>
  <c r="I79" i="10"/>
  <c r="J79" i="10" s="1"/>
  <c r="I66" i="10"/>
  <c r="J66" i="10" s="1"/>
  <c r="I54" i="10"/>
  <c r="J54" i="10" s="1"/>
  <c r="I179" i="10"/>
  <c r="I167" i="10"/>
  <c r="I154" i="10"/>
  <c r="I142" i="10"/>
  <c r="I128" i="10"/>
  <c r="I115" i="10"/>
  <c r="I103" i="10"/>
  <c r="I90" i="10"/>
  <c r="I78" i="10"/>
  <c r="J78" i="10" s="1"/>
  <c r="I64" i="10"/>
  <c r="I51" i="10"/>
  <c r="J51" i="10" s="1"/>
  <c r="J48" i="10"/>
  <c r="J118" i="10"/>
  <c r="I178" i="10"/>
  <c r="I166" i="10"/>
  <c r="I152" i="10"/>
  <c r="I139" i="10"/>
  <c r="I127" i="10"/>
  <c r="I114" i="10"/>
  <c r="I102" i="10"/>
  <c r="I88" i="10"/>
  <c r="I75" i="10"/>
  <c r="I63" i="10"/>
  <c r="J63" i="10" s="1"/>
  <c r="I50" i="10"/>
  <c r="J50" i="10" s="1"/>
  <c r="I176" i="10"/>
  <c r="I163" i="10"/>
  <c r="I151" i="10"/>
  <c r="I138" i="10"/>
  <c r="I126" i="10"/>
  <c r="I112" i="10"/>
  <c r="I99" i="10"/>
  <c r="I87" i="10"/>
  <c r="I74" i="10"/>
  <c r="I62" i="10"/>
  <c r="J62" i="10" s="1"/>
  <c r="I187" i="10"/>
  <c r="I175" i="10"/>
  <c r="I162" i="10"/>
  <c r="I150" i="10"/>
  <c r="I136" i="10"/>
  <c r="I123" i="10"/>
  <c r="I111" i="10"/>
  <c r="I98" i="10"/>
  <c r="I86" i="10"/>
  <c r="I72" i="10"/>
  <c r="J72" i="10" s="1"/>
  <c r="I59" i="10"/>
  <c r="J59" i="10" s="1"/>
  <c r="I47" i="10"/>
  <c r="J47" i="10" s="1"/>
  <c r="I185" i="10"/>
  <c r="I177" i="10"/>
  <c r="I169" i="10"/>
  <c r="I161" i="10"/>
  <c r="I153" i="10"/>
  <c r="I145" i="10"/>
  <c r="I137" i="10"/>
  <c r="I129" i="10"/>
  <c r="I121" i="10"/>
  <c r="I113" i="10"/>
  <c r="I105" i="10"/>
  <c r="I97" i="10"/>
  <c r="I89" i="10"/>
  <c r="I81" i="10"/>
  <c r="J81" i="10" s="1"/>
  <c r="I73" i="10"/>
  <c r="J73" i="10" s="1"/>
  <c r="I65" i="10"/>
  <c r="J65" i="10" s="1"/>
  <c r="I57" i="10"/>
  <c r="J57" i="10" s="1"/>
  <c r="I49" i="10"/>
  <c r="J49" i="10" s="1"/>
  <c r="I189" i="10"/>
  <c r="I181" i="10"/>
  <c r="I173" i="10"/>
  <c r="I165" i="10"/>
  <c r="I157" i="10"/>
  <c r="I149" i="10"/>
  <c r="I141" i="10"/>
  <c r="I133" i="10"/>
  <c r="I125" i="10"/>
  <c r="I117" i="10"/>
  <c r="I109" i="10"/>
  <c r="I101" i="10"/>
  <c r="I93" i="10"/>
  <c r="I85" i="10"/>
  <c r="J85" i="10" s="1"/>
  <c r="I77" i="10"/>
  <c r="J77" i="10" s="1"/>
  <c r="I69" i="10"/>
  <c r="J69" i="10" s="1"/>
  <c r="I61" i="10"/>
  <c r="I53" i="10"/>
  <c r="I188" i="10"/>
  <c r="I180" i="10"/>
  <c r="I172" i="10"/>
  <c r="I164" i="10"/>
  <c r="I156" i="10"/>
  <c r="I148" i="10"/>
  <c r="I140" i="10"/>
  <c r="I132" i="10"/>
  <c r="I124" i="10"/>
  <c r="I116" i="10"/>
  <c r="I108" i="10"/>
  <c r="I100" i="10"/>
  <c r="I92" i="10"/>
  <c r="I84" i="10"/>
  <c r="I76" i="10"/>
  <c r="I68" i="10"/>
  <c r="J68" i="10" s="1"/>
  <c r="I60" i="10"/>
  <c r="J60" i="10" s="1"/>
  <c r="I52" i="10"/>
  <c r="J101" i="10"/>
  <c r="J142" i="10"/>
  <c r="J180" i="10"/>
  <c r="J164" i="10"/>
  <c r="J187" i="10"/>
  <c r="J179" i="10"/>
  <c r="J171" i="10"/>
  <c r="J163" i="10"/>
  <c r="J186" i="10"/>
  <c r="J170" i="10"/>
  <c r="J162" i="10"/>
  <c r="J154" i="10"/>
  <c r="J146" i="10"/>
  <c r="J138" i="10"/>
  <c r="J130" i="10"/>
  <c r="J122" i="10"/>
  <c r="J185" i="10"/>
  <c r="J177" i="10"/>
  <c r="J169" i="10"/>
  <c r="J161" i="10"/>
  <c r="J153" i="10"/>
  <c r="J145" i="10"/>
  <c r="J137" i="10"/>
  <c r="J129" i="10"/>
  <c r="J121" i="10"/>
  <c r="J176" i="10"/>
  <c r="J168" i="10"/>
  <c r="J160" i="10"/>
  <c r="J144" i="10"/>
  <c r="J136" i="10"/>
  <c r="J128" i="10"/>
  <c r="J183" i="10"/>
  <c r="J175" i="10"/>
  <c r="J167" i="10"/>
  <c r="J151" i="10"/>
  <c r="J143" i="10"/>
  <c r="J135" i="10"/>
  <c r="J119" i="10"/>
  <c r="J181" i="10"/>
  <c r="J165" i="10"/>
  <c r="J149" i="10"/>
  <c r="J133" i="10"/>
  <c r="J117" i="10"/>
  <c r="J182" i="10"/>
  <c r="J116" i="10"/>
  <c r="J100" i="10"/>
  <c r="J84" i="10"/>
  <c r="J174" i="10"/>
  <c r="J158" i="10"/>
  <c r="J132" i="10"/>
  <c r="J123" i="10"/>
  <c r="J99" i="10"/>
  <c r="J91" i="10"/>
  <c r="J83" i="10"/>
  <c r="J166" i="10"/>
  <c r="J139" i="10"/>
  <c r="J114" i="10"/>
  <c r="J106" i="10"/>
  <c r="J98" i="10"/>
  <c r="J90" i="10"/>
  <c r="J74" i="10"/>
  <c r="J148" i="10"/>
  <c r="J113" i="10"/>
  <c r="J105" i="10"/>
  <c r="J97" i="10"/>
  <c r="J89" i="10"/>
  <c r="J155" i="10"/>
  <c r="J150" i="10"/>
  <c r="J112" i="10"/>
  <c r="J104" i="10"/>
  <c r="J88" i="10"/>
  <c r="J80" i="10"/>
  <c r="J64" i="10"/>
  <c r="J131" i="10"/>
  <c r="J126" i="10"/>
  <c r="J115" i="10"/>
  <c r="J111" i="10"/>
  <c r="J103" i="10"/>
  <c r="J95" i="10"/>
  <c r="J87" i="10"/>
  <c r="J120" i="10"/>
  <c r="J110" i="10"/>
  <c r="J102" i="10"/>
  <c r="J94" i="10"/>
  <c r="J86" i="10"/>
  <c r="J52" i="10"/>
  <c r="J147" i="10"/>
  <c r="M8" i="7"/>
  <c r="D12" i="8"/>
  <c r="D13" i="8" s="1"/>
  <c r="M9" i="8"/>
  <c r="AG54" i="11" l="1"/>
  <c r="AB54" i="11"/>
  <c r="R9" i="10"/>
  <c r="X4" i="9"/>
  <c r="J124" i="10"/>
  <c r="J156" i="10"/>
  <c r="J172" i="10"/>
  <c r="J188" i="10"/>
  <c r="J140" i="10"/>
  <c r="J76" i="10"/>
  <c r="J92" i="10"/>
  <c r="J108" i="10"/>
  <c r="J96" i="10"/>
  <c r="J82" i="10"/>
  <c r="J134" i="10"/>
  <c r="J75" i="10"/>
  <c r="J107" i="10"/>
  <c r="J125" i="10"/>
  <c r="J141" i="10"/>
  <c r="J157" i="10"/>
  <c r="J173" i="10"/>
  <c r="J189" i="10"/>
  <c r="J127" i="10"/>
  <c r="J159" i="10"/>
  <c r="J152" i="10"/>
  <c r="J184" i="10"/>
  <c r="J178" i="10"/>
  <c r="J93" i="10"/>
  <c r="J109" i="10"/>
  <c r="J61" i="10"/>
  <c r="J53" i="10"/>
  <c r="J55" i="10"/>
  <c r="I42" i="10"/>
  <c r="K133" i="8"/>
  <c r="Q182" i="8"/>
  <c r="Q118" i="8"/>
  <c r="L183" i="8"/>
  <c r="L87" i="8"/>
  <c r="Q175" i="8"/>
  <c r="Q143" i="8"/>
  <c r="Q111" i="8"/>
  <c r="L182" i="8"/>
  <c r="L150" i="8"/>
  <c r="L118" i="8"/>
  <c r="L86" i="8"/>
  <c r="Q150" i="8"/>
  <c r="Q86" i="8"/>
  <c r="L151" i="8"/>
  <c r="L119" i="8"/>
  <c r="Q174" i="8"/>
  <c r="Q142" i="8"/>
  <c r="Q110" i="8"/>
  <c r="L175" i="8"/>
  <c r="L143" i="8"/>
  <c r="L111" i="8"/>
  <c r="K181" i="8"/>
  <c r="Q166" i="8"/>
  <c r="Q134" i="8"/>
  <c r="Q102" i="8"/>
  <c r="L167" i="8"/>
  <c r="L135" i="8"/>
  <c r="L103" i="8"/>
  <c r="Q167" i="8"/>
  <c r="Q103" i="8"/>
  <c r="L142" i="8"/>
  <c r="K157" i="8"/>
  <c r="Q159" i="8"/>
  <c r="Q127" i="8"/>
  <c r="Q95" i="8"/>
  <c r="L166" i="8"/>
  <c r="L134" i="8"/>
  <c r="L102" i="8"/>
  <c r="L110" i="8"/>
  <c r="K149" i="8"/>
  <c r="Q190" i="8"/>
  <c r="Q158" i="8"/>
  <c r="Q126" i="8"/>
  <c r="Q94" i="8"/>
  <c r="L159" i="8"/>
  <c r="L127" i="8"/>
  <c r="L95" i="8"/>
  <c r="Q135" i="8"/>
  <c r="L174" i="8"/>
  <c r="Q183" i="8"/>
  <c r="Q151" i="8"/>
  <c r="Q119" i="8"/>
  <c r="Q87" i="8"/>
  <c r="L190" i="8"/>
  <c r="L158" i="8"/>
  <c r="L126" i="8"/>
  <c r="L94" i="8"/>
  <c r="K141" i="8"/>
  <c r="Q189" i="8"/>
  <c r="Q181" i="8"/>
  <c r="Q173" i="8"/>
  <c r="Q165" i="8"/>
  <c r="Q157" i="8"/>
  <c r="Q149" i="8"/>
  <c r="Q141" i="8"/>
  <c r="Q133" i="8"/>
  <c r="Q125" i="8"/>
  <c r="Q117" i="8"/>
  <c r="Q109" i="8"/>
  <c r="Q101" i="8"/>
  <c r="Q93" i="8"/>
  <c r="Q85" i="8"/>
  <c r="L189" i="8"/>
  <c r="L181" i="8"/>
  <c r="L173" i="8"/>
  <c r="L165" i="8"/>
  <c r="L157" i="8"/>
  <c r="L149" i="8"/>
  <c r="L141" i="8"/>
  <c r="L133" i="8"/>
  <c r="L125" i="8"/>
  <c r="L117" i="8"/>
  <c r="L109" i="8"/>
  <c r="L101" i="8"/>
  <c r="L93" i="8"/>
  <c r="L85" i="8"/>
  <c r="K125" i="8"/>
  <c r="Q188" i="8"/>
  <c r="Q180" i="8"/>
  <c r="Q172" i="8"/>
  <c r="Q164" i="8"/>
  <c r="Q156" i="8"/>
  <c r="Q148" i="8"/>
  <c r="Q140" i="8"/>
  <c r="Q132" i="8"/>
  <c r="Q124" i="8"/>
  <c r="Q116" i="8"/>
  <c r="Q108" i="8"/>
  <c r="Q100" i="8"/>
  <c r="Q92" i="8"/>
  <c r="Q84" i="8"/>
  <c r="L188" i="8"/>
  <c r="L180" i="8"/>
  <c r="L172" i="8"/>
  <c r="L164" i="8"/>
  <c r="L156" i="8"/>
  <c r="L148" i="8"/>
  <c r="L140" i="8"/>
  <c r="L132" i="8"/>
  <c r="L124" i="8"/>
  <c r="L116" i="8"/>
  <c r="L108" i="8"/>
  <c r="L100" i="8"/>
  <c r="L92" i="8"/>
  <c r="L84" i="8"/>
  <c r="Q187" i="8"/>
  <c r="Q179" i="8"/>
  <c r="Q155" i="8"/>
  <c r="Q139" i="8"/>
  <c r="Q115" i="8"/>
  <c r="Q99" i="8"/>
  <c r="L187" i="8"/>
  <c r="L163" i="8"/>
  <c r="K93" i="8"/>
  <c r="Q186" i="8"/>
  <c r="Q178" i="8"/>
  <c r="Q170" i="8"/>
  <c r="Q162" i="8"/>
  <c r="Q154" i="8"/>
  <c r="Q146" i="8"/>
  <c r="Q138" i="8"/>
  <c r="Q130" i="8"/>
  <c r="Q122" i="8"/>
  <c r="Q114" i="8"/>
  <c r="Q106" i="8"/>
  <c r="Q98" i="8"/>
  <c r="Q90" i="8"/>
  <c r="L186" i="8"/>
  <c r="L178" i="8"/>
  <c r="L170" i="8"/>
  <c r="L162" i="8"/>
  <c r="L154" i="8"/>
  <c r="L146" i="8"/>
  <c r="L138" i="8"/>
  <c r="L130" i="8"/>
  <c r="L122" i="8"/>
  <c r="L114" i="8"/>
  <c r="L106" i="8"/>
  <c r="L98" i="8"/>
  <c r="L90" i="8"/>
  <c r="K117" i="8"/>
  <c r="Q171" i="8"/>
  <c r="Q163" i="8"/>
  <c r="Q147" i="8"/>
  <c r="Q131" i="8"/>
  <c r="Q123" i="8"/>
  <c r="Q107" i="8"/>
  <c r="Q91" i="8"/>
  <c r="Q83" i="8"/>
  <c r="L179" i="8"/>
  <c r="L171" i="8"/>
  <c r="L155" i="8"/>
  <c r="L147" i="8"/>
  <c r="L139" i="8"/>
  <c r="L131" i="8"/>
  <c r="L123" i="8"/>
  <c r="L115" i="8"/>
  <c r="L107" i="8"/>
  <c r="L99" i="8"/>
  <c r="L91" i="8"/>
  <c r="L83" i="8"/>
  <c r="K187" i="8"/>
  <c r="K85" i="8"/>
  <c r="Q185" i="8"/>
  <c r="Q177" i="8"/>
  <c r="Q169" i="8"/>
  <c r="Q161" i="8"/>
  <c r="Q153" i="8"/>
  <c r="Q145" i="8"/>
  <c r="Q137" i="8"/>
  <c r="Q129" i="8"/>
  <c r="Q121" i="8"/>
  <c r="Q113" i="8"/>
  <c r="Q105" i="8"/>
  <c r="Q97" i="8"/>
  <c r="Q89" i="8"/>
  <c r="L185" i="8"/>
  <c r="L177" i="8"/>
  <c r="L169" i="8"/>
  <c r="L161" i="8"/>
  <c r="L153" i="8"/>
  <c r="L145" i="8"/>
  <c r="L137" i="8"/>
  <c r="L129" i="8"/>
  <c r="L121" i="8"/>
  <c r="L113" i="8"/>
  <c r="L105" i="8"/>
  <c r="L97" i="8"/>
  <c r="L89" i="8"/>
  <c r="Q184" i="8"/>
  <c r="Q176" i="8"/>
  <c r="Q168" i="8"/>
  <c r="Q160" i="8"/>
  <c r="Q152" i="8"/>
  <c r="Q144" i="8"/>
  <c r="Q136" i="8"/>
  <c r="Q128" i="8"/>
  <c r="Q120" i="8"/>
  <c r="Q112" i="8"/>
  <c r="Q104" i="8"/>
  <c r="Q96" i="8"/>
  <c r="Q88" i="8"/>
  <c r="L184" i="8"/>
  <c r="L176" i="8"/>
  <c r="L168" i="8"/>
  <c r="L160" i="8"/>
  <c r="L152" i="8"/>
  <c r="L144" i="8"/>
  <c r="L136" i="8"/>
  <c r="L128" i="8"/>
  <c r="L120" i="8"/>
  <c r="L112" i="8"/>
  <c r="L104" i="8"/>
  <c r="L96" i="8"/>
  <c r="L88" i="8"/>
  <c r="K189" i="8"/>
  <c r="J84" i="8"/>
  <c r="P84" i="8" s="1"/>
  <c r="J92" i="8"/>
  <c r="J100" i="8"/>
  <c r="P100" i="8" s="1"/>
  <c r="J108" i="8"/>
  <c r="P108" i="8" s="1"/>
  <c r="J116" i="8"/>
  <c r="P116" i="8" s="1"/>
  <c r="J124" i="8"/>
  <c r="J132" i="8"/>
  <c r="J140" i="8"/>
  <c r="J148" i="8"/>
  <c r="J156" i="8"/>
  <c r="J87" i="8"/>
  <c r="J95" i="8"/>
  <c r="J103" i="8"/>
  <c r="J111" i="8"/>
  <c r="J119" i="8"/>
  <c r="J127" i="8"/>
  <c r="P127" i="8" s="1"/>
  <c r="J135" i="8"/>
  <c r="P135" i="8" s="1"/>
  <c r="J143" i="8"/>
  <c r="P143" i="8" s="1"/>
  <c r="J151" i="8"/>
  <c r="J159" i="8"/>
  <c r="J167" i="8"/>
  <c r="J175" i="8"/>
  <c r="J183" i="8"/>
  <c r="J88" i="8"/>
  <c r="J96" i="8"/>
  <c r="J104" i="8"/>
  <c r="J112" i="8"/>
  <c r="J120" i="8"/>
  <c r="J128" i="8"/>
  <c r="J136" i="8"/>
  <c r="J144" i="8"/>
  <c r="J152" i="8"/>
  <c r="J160" i="8"/>
  <c r="J168" i="8"/>
  <c r="J176" i="8"/>
  <c r="J184" i="8"/>
  <c r="J89" i="8"/>
  <c r="J97" i="8"/>
  <c r="J105" i="8"/>
  <c r="J113" i="8"/>
  <c r="J83" i="8"/>
  <c r="P83" i="8" s="1"/>
  <c r="J91" i="8"/>
  <c r="J99" i="8"/>
  <c r="P99" i="8" s="1"/>
  <c r="J107" i="8"/>
  <c r="P107" i="8" s="1"/>
  <c r="J115" i="8"/>
  <c r="P115" i="8" s="1"/>
  <c r="J123" i="8"/>
  <c r="J131" i="8"/>
  <c r="P131" i="8" s="1"/>
  <c r="J139" i="8"/>
  <c r="P139" i="8" s="1"/>
  <c r="J147" i="8"/>
  <c r="P147" i="8" s="1"/>
  <c r="J155" i="8"/>
  <c r="J163" i="8"/>
  <c r="J171" i="8"/>
  <c r="J179" i="8"/>
  <c r="J187" i="8"/>
  <c r="J94" i="8"/>
  <c r="J117" i="8"/>
  <c r="J133" i="8"/>
  <c r="J149" i="8"/>
  <c r="J164" i="8"/>
  <c r="J177" i="8"/>
  <c r="P177" i="8" s="1"/>
  <c r="J189" i="8"/>
  <c r="K86" i="8"/>
  <c r="K94" i="8"/>
  <c r="K102" i="8"/>
  <c r="K110" i="8"/>
  <c r="K118" i="8"/>
  <c r="K126" i="8"/>
  <c r="K134" i="8"/>
  <c r="K142" i="8"/>
  <c r="K150" i="8"/>
  <c r="K158" i="8"/>
  <c r="K166" i="8"/>
  <c r="K174" i="8"/>
  <c r="K182" i="8"/>
  <c r="K190" i="8"/>
  <c r="J98" i="8"/>
  <c r="J118" i="8"/>
  <c r="J134" i="8"/>
  <c r="J150" i="8"/>
  <c r="J165" i="8"/>
  <c r="J178" i="8"/>
  <c r="P178" i="8" s="1"/>
  <c r="J190" i="8"/>
  <c r="K87" i="8"/>
  <c r="K95" i="8"/>
  <c r="K103" i="8"/>
  <c r="K111" i="8"/>
  <c r="K119" i="8"/>
  <c r="K127" i="8"/>
  <c r="K135" i="8"/>
  <c r="K143" i="8"/>
  <c r="K151" i="8"/>
  <c r="K159" i="8"/>
  <c r="K167" i="8"/>
  <c r="K175" i="8"/>
  <c r="K183" i="8"/>
  <c r="J101" i="8"/>
  <c r="J121" i="8"/>
  <c r="P121" i="8" s="1"/>
  <c r="J137" i="8"/>
  <c r="J153" i="8"/>
  <c r="J166" i="8"/>
  <c r="P166" i="8" s="1"/>
  <c r="J180" i="8"/>
  <c r="K88" i="8"/>
  <c r="K96" i="8"/>
  <c r="K104" i="8"/>
  <c r="K112" i="8"/>
  <c r="K120" i="8"/>
  <c r="K128" i="8"/>
  <c r="K136" i="8"/>
  <c r="K144" i="8"/>
  <c r="K152" i="8"/>
  <c r="K160" i="8"/>
  <c r="K168" i="8"/>
  <c r="K176" i="8"/>
  <c r="K184" i="8"/>
  <c r="K90" i="8"/>
  <c r="K106" i="8"/>
  <c r="K122" i="8"/>
  <c r="K138" i="8"/>
  <c r="K146" i="8"/>
  <c r="K162" i="8"/>
  <c r="K170" i="8"/>
  <c r="K186" i="8"/>
  <c r="J102" i="8"/>
  <c r="J122" i="8"/>
  <c r="P122" i="8" s="1"/>
  <c r="J138" i="8"/>
  <c r="J154" i="8"/>
  <c r="J169" i="8"/>
  <c r="P169" i="8" s="1"/>
  <c r="J181" i="8"/>
  <c r="P181" i="8" s="1"/>
  <c r="K89" i="8"/>
  <c r="K97" i="8"/>
  <c r="K105" i="8"/>
  <c r="K113" i="8"/>
  <c r="K121" i="8"/>
  <c r="K129" i="8"/>
  <c r="K137" i="8"/>
  <c r="K145" i="8"/>
  <c r="K153" i="8"/>
  <c r="K161" i="8"/>
  <c r="K169" i="8"/>
  <c r="K177" i="8"/>
  <c r="K185" i="8"/>
  <c r="K114" i="8"/>
  <c r="J85" i="8"/>
  <c r="J106" i="8"/>
  <c r="P106" i="8" s="1"/>
  <c r="J125" i="8"/>
  <c r="J141" i="8"/>
  <c r="J157" i="8"/>
  <c r="P157" i="8" s="1"/>
  <c r="J170" i="8"/>
  <c r="P170" i="8" s="1"/>
  <c r="J182" i="8"/>
  <c r="K98" i="8"/>
  <c r="K130" i="8"/>
  <c r="K154" i="8"/>
  <c r="K178" i="8"/>
  <c r="J86" i="8"/>
  <c r="J109" i="8"/>
  <c r="J126" i="8"/>
  <c r="J142" i="8"/>
  <c r="J158" i="8"/>
  <c r="J172" i="8"/>
  <c r="J185" i="8"/>
  <c r="K83" i="8"/>
  <c r="K91" i="8"/>
  <c r="K99" i="8"/>
  <c r="K107" i="8"/>
  <c r="K115" i="8"/>
  <c r="K123" i="8"/>
  <c r="K131" i="8"/>
  <c r="K139" i="8"/>
  <c r="K147" i="8"/>
  <c r="K155" i="8"/>
  <c r="K163" i="8"/>
  <c r="K171" i="8"/>
  <c r="K179" i="8"/>
  <c r="J90" i="8"/>
  <c r="J110" i="8"/>
  <c r="J129" i="8"/>
  <c r="J145" i="8"/>
  <c r="J161" i="8"/>
  <c r="J173" i="8"/>
  <c r="J186" i="8"/>
  <c r="P186" i="8" s="1"/>
  <c r="K84" i="8"/>
  <c r="K92" i="8"/>
  <c r="K100" i="8"/>
  <c r="K108" i="8"/>
  <c r="K116" i="8"/>
  <c r="K124" i="8"/>
  <c r="K132" i="8"/>
  <c r="K140" i="8"/>
  <c r="K148" i="8"/>
  <c r="K156" i="8"/>
  <c r="K164" i="8"/>
  <c r="K172" i="8"/>
  <c r="K180" i="8"/>
  <c r="K188" i="8"/>
  <c r="J93" i="8"/>
  <c r="P93" i="8" s="1"/>
  <c r="J114" i="8"/>
  <c r="J130" i="8"/>
  <c r="J146" i="8"/>
  <c r="J162" i="8"/>
  <c r="P162" i="8" s="1"/>
  <c r="J174" i="8"/>
  <c r="J188" i="8"/>
  <c r="K173" i="8"/>
  <c r="K109" i="8"/>
  <c r="K165" i="8"/>
  <c r="K101" i="8"/>
  <c r="P101" i="8" l="1"/>
  <c r="P142" i="8"/>
  <c r="P89" i="8"/>
  <c r="P113" i="8"/>
  <c r="P126" i="8"/>
  <c r="P164" i="8"/>
  <c r="P148" i="8"/>
  <c r="P129" i="8"/>
  <c r="P165" i="8"/>
  <c r="P140" i="8"/>
  <c r="P105" i="8"/>
  <c r="P150" i="8"/>
  <c r="P94" i="8"/>
  <c r="P132" i="8"/>
  <c r="P117" i="8"/>
  <c r="P180" i="8"/>
  <c r="AG55" i="11"/>
  <c r="P130" i="8"/>
  <c r="P125" i="8"/>
  <c r="P189" i="8"/>
  <c r="AB55" i="11"/>
  <c r="P161" i="8"/>
  <c r="P90" i="8"/>
  <c r="P154" i="8"/>
  <c r="P190" i="8"/>
  <c r="P149" i="8"/>
  <c r="P187" i="8"/>
  <c r="P155" i="8"/>
  <c r="P123" i="8"/>
  <c r="P91" i="8"/>
  <c r="P97" i="8"/>
  <c r="P156" i="8"/>
  <c r="P124" i="8"/>
  <c r="P92" i="8"/>
  <c r="P173" i="8"/>
  <c r="P110" i="8"/>
  <c r="P109" i="8"/>
  <c r="P153" i="8"/>
  <c r="P163" i="8"/>
  <c r="P183" i="8"/>
  <c r="P119" i="8"/>
  <c r="Y9" i="10"/>
  <c r="Z9" i="10" s="1"/>
  <c r="U9" i="10"/>
  <c r="S96" i="8"/>
  <c r="U96" i="8" s="1"/>
  <c r="R96" i="8"/>
  <c r="S112" i="8"/>
  <c r="U112" i="8" s="1"/>
  <c r="R112" i="8"/>
  <c r="S128" i="8"/>
  <c r="U128" i="8" s="1"/>
  <c r="R128" i="8"/>
  <c r="S144" i="8"/>
  <c r="U144" i="8" s="1"/>
  <c r="R144" i="8"/>
  <c r="S160" i="8"/>
  <c r="U160" i="8" s="1"/>
  <c r="R160" i="8"/>
  <c r="S176" i="8"/>
  <c r="U176" i="8" s="1"/>
  <c r="R176" i="8"/>
  <c r="S97" i="8"/>
  <c r="U97" i="8" s="1"/>
  <c r="R97" i="8"/>
  <c r="S113" i="8"/>
  <c r="U113" i="8" s="1"/>
  <c r="R113" i="8"/>
  <c r="S129" i="8"/>
  <c r="U129" i="8" s="1"/>
  <c r="R129" i="8"/>
  <c r="S145" i="8"/>
  <c r="U145" i="8" s="1"/>
  <c r="R145" i="8"/>
  <c r="S161" i="8"/>
  <c r="U161" i="8" s="1"/>
  <c r="R161" i="8"/>
  <c r="S177" i="8"/>
  <c r="U177" i="8" s="1"/>
  <c r="R177" i="8"/>
  <c r="S83" i="8"/>
  <c r="U83" i="8" s="1"/>
  <c r="R83" i="8"/>
  <c r="S107" i="8"/>
  <c r="U107" i="8" s="1"/>
  <c r="R107" i="8"/>
  <c r="S131" i="8"/>
  <c r="U131" i="8" s="1"/>
  <c r="R131" i="8"/>
  <c r="S163" i="8"/>
  <c r="U163" i="8" s="1"/>
  <c r="R163" i="8"/>
  <c r="S90" i="8"/>
  <c r="U90" i="8" s="1"/>
  <c r="R90" i="8"/>
  <c r="S106" i="8"/>
  <c r="U106" i="8" s="1"/>
  <c r="R106" i="8"/>
  <c r="S122" i="8"/>
  <c r="U122" i="8" s="1"/>
  <c r="R122" i="8"/>
  <c r="S138" i="8"/>
  <c r="U138" i="8" s="1"/>
  <c r="R138" i="8"/>
  <c r="S154" i="8"/>
  <c r="U154" i="8" s="1"/>
  <c r="R154" i="8"/>
  <c r="S170" i="8"/>
  <c r="U170" i="8" s="1"/>
  <c r="R170" i="8"/>
  <c r="S186" i="8"/>
  <c r="U186" i="8" s="1"/>
  <c r="R186" i="8"/>
  <c r="S99" i="8"/>
  <c r="U99" i="8" s="1"/>
  <c r="R99" i="8"/>
  <c r="S139" i="8"/>
  <c r="U139" i="8" s="1"/>
  <c r="R139" i="8"/>
  <c r="S179" i="8"/>
  <c r="U179" i="8" s="1"/>
  <c r="R179" i="8"/>
  <c r="S84" i="8"/>
  <c r="U84" i="8" s="1"/>
  <c r="R84" i="8"/>
  <c r="S100" i="8"/>
  <c r="U100" i="8" s="1"/>
  <c r="R100" i="8"/>
  <c r="S116" i="8"/>
  <c r="U116" i="8" s="1"/>
  <c r="R116" i="8"/>
  <c r="S132" i="8"/>
  <c r="U132" i="8" s="1"/>
  <c r="R132" i="8"/>
  <c r="S148" i="8"/>
  <c r="U148" i="8" s="1"/>
  <c r="R148" i="8"/>
  <c r="S164" i="8"/>
  <c r="U164" i="8" s="1"/>
  <c r="R164" i="8"/>
  <c r="S180" i="8"/>
  <c r="U180" i="8" s="1"/>
  <c r="R180" i="8"/>
  <c r="S93" i="8"/>
  <c r="U93" i="8" s="1"/>
  <c r="R93" i="8"/>
  <c r="S109" i="8"/>
  <c r="U109" i="8" s="1"/>
  <c r="R109" i="8"/>
  <c r="S125" i="8"/>
  <c r="U125" i="8" s="1"/>
  <c r="R125" i="8"/>
  <c r="S141" i="8"/>
  <c r="U141" i="8" s="1"/>
  <c r="R141" i="8"/>
  <c r="S157" i="8"/>
  <c r="U157" i="8" s="1"/>
  <c r="R157" i="8"/>
  <c r="S173" i="8"/>
  <c r="U173" i="8" s="1"/>
  <c r="R173" i="8"/>
  <c r="S189" i="8"/>
  <c r="U189" i="8" s="1"/>
  <c r="R189" i="8"/>
  <c r="S87" i="8"/>
  <c r="U87" i="8" s="1"/>
  <c r="R87" i="8"/>
  <c r="S151" i="8"/>
  <c r="U151" i="8" s="1"/>
  <c r="R151" i="8"/>
  <c r="S126" i="8"/>
  <c r="U126" i="8" s="1"/>
  <c r="R126" i="8"/>
  <c r="S190" i="8"/>
  <c r="U190" i="8" s="1"/>
  <c r="R190" i="8"/>
  <c r="S95" i="8"/>
  <c r="U95" i="8" s="1"/>
  <c r="R95" i="8"/>
  <c r="S159" i="8"/>
  <c r="U159" i="8" s="1"/>
  <c r="R159" i="8"/>
  <c r="S167" i="8"/>
  <c r="U167" i="8" s="1"/>
  <c r="R167" i="8"/>
  <c r="S102" i="8"/>
  <c r="U102" i="8" s="1"/>
  <c r="R102" i="8"/>
  <c r="S166" i="8"/>
  <c r="U166" i="8" s="1"/>
  <c r="R166" i="8"/>
  <c r="S142" i="8"/>
  <c r="U142" i="8" s="1"/>
  <c r="R142" i="8"/>
  <c r="S86" i="8"/>
  <c r="U86" i="8" s="1"/>
  <c r="R86" i="8"/>
  <c r="S111" i="8"/>
  <c r="U111" i="8" s="1"/>
  <c r="R111" i="8"/>
  <c r="S175" i="8"/>
  <c r="U175" i="8" s="1"/>
  <c r="R175" i="8"/>
  <c r="S182" i="8"/>
  <c r="U182" i="8" s="1"/>
  <c r="R182" i="8"/>
  <c r="S88" i="8"/>
  <c r="U88" i="8" s="1"/>
  <c r="R88" i="8"/>
  <c r="S104" i="8"/>
  <c r="U104" i="8" s="1"/>
  <c r="R104" i="8"/>
  <c r="S120" i="8"/>
  <c r="U120" i="8" s="1"/>
  <c r="R120" i="8"/>
  <c r="S136" i="8"/>
  <c r="U136" i="8" s="1"/>
  <c r="R136" i="8"/>
  <c r="S152" i="8"/>
  <c r="U152" i="8" s="1"/>
  <c r="R152" i="8"/>
  <c r="S168" i="8"/>
  <c r="U168" i="8" s="1"/>
  <c r="R168" i="8"/>
  <c r="S184" i="8"/>
  <c r="U184" i="8" s="1"/>
  <c r="R184" i="8"/>
  <c r="S89" i="8"/>
  <c r="U89" i="8" s="1"/>
  <c r="R89" i="8"/>
  <c r="S105" i="8"/>
  <c r="U105" i="8" s="1"/>
  <c r="R105" i="8"/>
  <c r="S121" i="8"/>
  <c r="U121" i="8" s="1"/>
  <c r="R121" i="8"/>
  <c r="S137" i="8"/>
  <c r="U137" i="8" s="1"/>
  <c r="R137" i="8"/>
  <c r="S153" i="8"/>
  <c r="U153" i="8" s="1"/>
  <c r="R153" i="8"/>
  <c r="S169" i="8"/>
  <c r="U169" i="8" s="1"/>
  <c r="R169" i="8"/>
  <c r="S185" i="8"/>
  <c r="U185" i="8" s="1"/>
  <c r="R185" i="8"/>
  <c r="S91" i="8"/>
  <c r="U91" i="8" s="1"/>
  <c r="R91" i="8"/>
  <c r="S123" i="8"/>
  <c r="U123" i="8" s="1"/>
  <c r="R123" i="8"/>
  <c r="S147" i="8"/>
  <c r="U147" i="8" s="1"/>
  <c r="R147" i="8"/>
  <c r="S171" i="8"/>
  <c r="U171" i="8" s="1"/>
  <c r="R171" i="8"/>
  <c r="S98" i="8"/>
  <c r="U98" i="8" s="1"/>
  <c r="R98" i="8"/>
  <c r="S114" i="8"/>
  <c r="U114" i="8" s="1"/>
  <c r="R114" i="8"/>
  <c r="S130" i="8"/>
  <c r="U130" i="8" s="1"/>
  <c r="R130" i="8"/>
  <c r="S146" i="8"/>
  <c r="U146" i="8" s="1"/>
  <c r="R146" i="8"/>
  <c r="S162" i="8"/>
  <c r="U162" i="8" s="1"/>
  <c r="R162" i="8"/>
  <c r="S178" i="8"/>
  <c r="U178" i="8" s="1"/>
  <c r="R178" i="8"/>
  <c r="S115" i="8"/>
  <c r="U115" i="8" s="1"/>
  <c r="R115" i="8"/>
  <c r="S155" i="8"/>
  <c r="U155" i="8" s="1"/>
  <c r="R155" i="8"/>
  <c r="S187" i="8"/>
  <c r="U187" i="8" s="1"/>
  <c r="R187" i="8"/>
  <c r="S92" i="8"/>
  <c r="U92" i="8" s="1"/>
  <c r="R92" i="8"/>
  <c r="S108" i="8"/>
  <c r="U108" i="8" s="1"/>
  <c r="R108" i="8"/>
  <c r="S124" i="8"/>
  <c r="U124" i="8" s="1"/>
  <c r="R124" i="8"/>
  <c r="S140" i="8"/>
  <c r="U140" i="8" s="1"/>
  <c r="R140" i="8"/>
  <c r="S156" i="8"/>
  <c r="U156" i="8" s="1"/>
  <c r="R156" i="8"/>
  <c r="S172" i="8"/>
  <c r="U172" i="8" s="1"/>
  <c r="R172" i="8"/>
  <c r="S188" i="8"/>
  <c r="U188" i="8" s="1"/>
  <c r="R188" i="8"/>
  <c r="S85" i="8"/>
  <c r="U85" i="8" s="1"/>
  <c r="R85" i="8"/>
  <c r="S101" i="8"/>
  <c r="U101" i="8" s="1"/>
  <c r="R101" i="8"/>
  <c r="S117" i="8"/>
  <c r="U117" i="8" s="1"/>
  <c r="R117" i="8"/>
  <c r="S133" i="8"/>
  <c r="U133" i="8" s="1"/>
  <c r="R133" i="8"/>
  <c r="S149" i="8"/>
  <c r="U149" i="8" s="1"/>
  <c r="R149" i="8"/>
  <c r="S165" i="8"/>
  <c r="U165" i="8" s="1"/>
  <c r="R165" i="8"/>
  <c r="S181" i="8"/>
  <c r="U181" i="8" s="1"/>
  <c r="R181" i="8"/>
  <c r="S119" i="8"/>
  <c r="U119" i="8" s="1"/>
  <c r="R119" i="8"/>
  <c r="S183" i="8"/>
  <c r="U183" i="8" s="1"/>
  <c r="R183" i="8"/>
  <c r="S135" i="8"/>
  <c r="U135" i="8" s="1"/>
  <c r="R135" i="8"/>
  <c r="S94" i="8"/>
  <c r="U94" i="8" s="1"/>
  <c r="R94" i="8"/>
  <c r="S158" i="8"/>
  <c r="U158" i="8" s="1"/>
  <c r="R158" i="8"/>
  <c r="S127" i="8"/>
  <c r="U127" i="8" s="1"/>
  <c r="R127" i="8"/>
  <c r="S103" i="8"/>
  <c r="U103" i="8" s="1"/>
  <c r="R103" i="8"/>
  <c r="S134" i="8"/>
  <c r="U134" i="8" s="1"/>
  <c r="R134" i="8"/>
  <c r="S110" i="8"/>
  <c r="U110" i="8" s="1"/>
  <c r="R110" i="8"/>
  <c r="S174" i="8"/>
  <c r="U174" i="8" s="1"/>
  <c r="R174" i="8"/>
  <c r="S150" i="8"/>
  <c r="U150" i="8" s="1"/>
  <c r="R150" i="8"/>
  <c r="S143" i="8"/>
  <c r="U143" i="8" s="1"/>
  <c r="R143" i="8"/>
  <c r="S118" i="8"/>
  <c r="U118" i="8" s="1"/>
  <c r="R118" i="8"/>
  <c r="W12" i="10"/>
  <c r="W16" i="10"/>
  <c r="W20" i="10"/>
  <c r="W24" i="10"/>
  <c r="W28" i="10"/>
  <c r="W32" i="10"/>
  <c r="W36" i="10"/>
  <c r="W40" i="10"/>
  <c r="W44" i="10"/>
  <c r="W48" i="10"/>
  <c r="W52" i="10"/>
  <c r="W56" i="10"/>
  <c r="W60" i="10"/>
  <c r="W64" i="10"/>
  <c r="W68" i="10"/>
  <c r="W13" i="10"/>
  <c r="W17" i="10"/>
  <c r="W21" i="10"/>
  <c r="W25" i="10"/>
  <c r="W29" i="10"/>
  <c r="W33" i="10"/>
  <c r="W37" i="10"/>
  <c r="W41" i="10"/>
  <c r="W45" i="10"/>
  <c r="W49" i="10"/>
  <c r="W53" i="10"/>
  <c r="W57" i="10"/>
  <c r="W61" i="10"/>
  <c r="W65" i="10"/>
  <c r="W69" i="10"/>
  <c r="W10" i="10"/>
  <c r="W14" i="10"/>
  <c r="W18" i="10"/>
  <c r="W22" i="10"/>
  <c r="W26" i="10"/>
  <c r="W30" i="10"/>
  <c r="W34" i="10"/>
  <c r="W38" i="10"/>
  <c r="W42" i="10"/>
  <c r="W46" i="10"/>
  <c r="W50" i="10"/>
  <c r="W54" i="10"/>
  <c r="W58" i="10"/>
  <c r="W62" i="10"/>
  <c r="W66" i="10"/>
  <c r="W11" i="10"/>
  <c r="W15" i="10"/>
  <c r="W19" i="10"/>
  <c r="W23" i="10"/>
  <c r="W27" i="10"/>
  <c r="W31" i="10"/>
  <c r="W35" i="10"/>
  <c r="W39" i="10"/>
  <c r="W43" i="10"/>
  <c r="W47" i="10"/>
  <c r="W51" i="10"/>
  <c r="W55" i="10"/>
  <c r="W59" i="10"/>
  <c r="W63" i="10"/>
  <c r="W67" i="10"/>
  <c r="P174" i="8"/>
  <c r="P146" i="8"/>
  <c r="P114" i="8"/>
  <c r="P185" i="8"/>
  <c r="P158" i="8"/>
  <c r="P86" i="8"/>
  <c r="P141" i="8"/>
  <c r="P137" i="8"/>
  <c r="P134" i="8"/>
  <c r="P98" i="8"/>
  <c r="P171" i="8"/>
  <c r="P184" i="8"/>
  <c r="P168" i="8"/>
  <c r="P152" i="8"/>
  <c r="P136" i="8"/>
  <c r="P120" i="8"/>
  <c r="P104" i="8"/>
  <c r="P88" i="8"/>
  <c r="P175" i="8"/>
  <c r="P159" i="8"/>
  <c r="P111" i="8"/>
  <c r="P95" i="8"/>
  <c r="P188" i="8"/>
  <c r="P145" i="8"/>
  <c r="P172" i="8"/>
  <c r="P182" i="8"/>
  <c r="P85" i="8"/>
  <c r="P138" i="8"/>
  <c r="P102" i="8"/>
  <c r="P118" i="8"/>
  <c r="P133" i="8"/>
  <c r="P179" i="8"/>
  <c r="P176" i="8"/>
  <c r="P160" i="8"/>
  <c r="P144" i="8"/>
  <c r="P128" i="8"/>
  <c r="P112" i="8"/>
  <c r="P96" i="8"/>
  <c r="P167" i="8"/>
  <c r="P151" i="8"/>
  <c r="P103" i="8"/>
  <c r="P87" i="8"/>
  <c r="I26" i="10"/>
  <c r="I40" i="10"/>
  <c r="I22" i="10"/>
  <c r="I18" i="10"/>
  <c r="I41" i="10"/>
  <c r="I31" i="10"/>
  <c r="I20" i="10"/>
  <c r="I14" i="10"/>
  <c r="I30" i="10"/>
  <c r="I10" i="10"/>
  <c r="Q10" i="10" s="1"/>
  <c r="P11" i="10" s="1"/>
  <c r="I32" i="10"/>
  <c r="I33" i="10"/>
  <c r="I17" i="10"/>
  <c r="K10" i="10"/>
  <c r="V10" i="10" s="1"/>
  <c r="D29" i="10"/>
  <c r="I39" i="10"/>
  <c r="I24" i="10"/>
  <c r="I34" i="10"/>
  <c r="I23" i="10"/>
  <c r="I43" i="10"/>
  <c r="S10" i="10"/>
  <c r="I13" i="10"/>
  <c r="I15" i="10"/>
  <c r="I27" i="10"/>
  <c r="I21" i="10"/>
  <c r="I45" i="10"/>
  <c r="I25" i="10"/>
  <c r="I16" i="10"/>
  <c r="I19" i="10"/>
  <c r="I44" i="10"/>
  <c r="I28" i="10"/>
  <c r="I37" i="10"/>
  <c r="I38" i="10"/>
  <c r="I36" i="10"/>
  <c r="I12" i="10"/>
  <c r="I35" i="10"/>
  <c r="I29" i="10"/>
  <c r="AG56" i="11" l="1"/>
  <c r="AB56" i="11"/>
  <c r="T118" i="8"/>
  <c r="V118" i="8" s="1"/>
  <c r="T143" i="8"/>
  <c r="V143" i="8" s="1"/>
  <c r="T150" i="8"/>
  <c r="V150" i="8" s="1"/>
  <c r="T174" i="8"/>
  <c r="V174" i="8" s="1"/>
  <c r="T110" i="8"/>
  <c r="V110" i="8" s="1"/>
  <c r="T134" i="8"/>
  <c r="V134" i="8" s="1"/>
  <c r="T103" i="8"/>
  <c r="V103" i="8" s="1"/>
  <c r="T127" i="8"/>
  <c r="V127" i="8" s="1"/>
  <c r="T158" i="8"/>
  <c r="V158" i="8" s="1"/>
  <c r="T94" i="8"/>
  <c r="V94" i="8" s="1"/>
  <c r="T135" i="8"/>
  <c r="V135" i="8" s="1"/>
  <c r="T183" i="8"/>
  <c r="V183" i="8" s="1"/>
  <c r="T119" i="8"/>
  <c r="V119" i="8" s="1"/>
  <c r="T181" i="8"/>
  <c r="V181" i="8" s="1"/>
  <c r="T165" i="8"/>
  <c r="V165" i="8" s="1"/>
  <c r="T149" i="8"/>
  <c r="V149" i="8" s="1"/>
  <c r="T133" i="8"/>
  <c r="V133" i="8" s="1"/>
  <c r="T117" i="8"/>
  <c r="V117" i="8" s="1"/>
  <c r="T101" i="8"/>
  <c r="V101" i="8" s="1"/>
  <c r="T85" i="8"/>
  <c r="V85" i="8" s="1"/>
  <c r="T188" i="8"/>
  <c r="V188" i="8" s="1"/>
  <c r="T172" i="8"/>
  <c r="V172" i="8" s="1"/>
  <c r="T156" i="8"/>
  <c r="V156" i="8" s="1"/>
  <c r="T140" i="8"/>
  <c r="V140" i="8" s="1"/>
  <c r="T124" i="8"/>
  <c r="V124" i="8" s="1"/>
  <c r="T108" i="8"/>
  <c r="V108" i="8" s="1"/>
  <c r="T92" i="8"/>
  <c r="V92" i="8" s="1"/>
  <c r="T187" i="8"/>
  <c r="V187" i="8" s="1"/>
  <c r="T155" i="8"/>
  <c r="V155" i="8" s="1"/>
  <c r="T115" i="8"/>
  <c r="V115" i="8" s="1"/>
  <c r="T178" i="8"/>
  <c r="V178" i="8" s="1"/>
  <c r="T162" i="8"/>
  <c r="V162" i="8" s="1"/>
  <c r="T146" i="8"/>
  <c r="V146" i="8" s="1"/>
  <c r="T130" i="8"/>
  <c r="V130" i="8" s="1"/>
  <c r="T114" i="8"/>
  <c r="V114" i="8" s="1"/>
  <c r="T98" i="8"/>
  <c r="V98" i="8" s="1"/>
  <c r="T171" i="8"/>
  <c r="V171" i="8" s="1"/>
  <c r="T147" i="8"/>
  <c r="V147" i="8" s="1"/>
  <c r="T123" i="8"/>
  <c r="V123" i="8" s="1"/>
  <c r="T91" i="8"/>
  <c r="V91" i="8" s="1"/>
  <c r="T185" i="8"/>
  <c r="V185" i="8" s="1"/>
  <c r="T169" i="8"/>
  <c r="V169" i="8" s="1"/>
  <c r="T153" i="8"/>
  <c r="V153" i="8" s="1"/>
  <c r="T137" i="8"/>
  <c r="V137" i="8" s="1"/>
  <c r="T121" i="8"/>
  <c r="V121" i="8" s="1"/>
  <c r="T105" i="8"/>
  <c r="V105" i="8" s="1"/>
  <c r="T89" i="8"/>
  <c r="V89" i="8" s="1"/>
  <c r="T184" i="8"/>
  <c r="V184" i="8" s="1"/>
  <c r="T168" i="8"/>
  <c r="V168" i="8" s="1"/>
  <c r="T152" i="8"/>
  <c r="V152" i="8" s="1"/>
  <c r="T136" i="8"/>
  <c r="V136" i="8" s="1"/>
  <c r="T120" i="8"/>
  <c r="V120" i="8" s="1"/>
  <c r="T104" i="8"/>
  <c r="V104" i="8" s="1"/>
  <c r="T88" i="8"/>
  <c r="V88" i="8" s="1"/>
  <c r="T182" i="8"/>
  <c r="V182" i="8" s="1"/>
  <c r="T175" i="8"/>
  <c r="V175" i="8" s="1"/>
  <c r="T111" i="8"/>
  <c r="V111" i="8" s="1"/>
  <c r="T86" i="8"/>
  <c r="V86" i="8" s="1"/>
  <c r="T142" i="8"/>
  <c r="V142" i="8" s="1"/>
  <c r="T166" i="8"/>
  <c r="V166" i="8" s="1"/>
  <c r="T102" i="8"/>
  <c r="V102" i="8" s="1"/>
  <c r="T167" i="8"/>
  <c r="V167" i="8" s="1"/>
  <c r="T159" i="8"/>
  <c r="V159" i="8" s="1"/>
  <c r="T95" i="8"/>
  <c r="V95" i="8" s="1"/>
  <c r="T190" i="8"/>
  <c r="V190" i="8" s="1"/>
  <c r="T126" i="8"/>
  <c r="V126" i="8" s="1"/>
  <c r="T151" i="8"/>
  <c r="V151" i="8" s="1"/>
  <c r="T87" i="8"/>
  <c r="V87" i="8" s="1"/>
  <c r="T189" i="8"/>
  <c r="V189" i="8" s="1"/>
  <c r="T173" i="8"/>
  <c r="V173" i="8" s="1"/>
  <c r="T157" i="8"/>
  <c r="V157" i="8" s="1"/>
  <c r="T141" i="8"/>
  <c r="V141" i="8" s="1"/>
  <c r="T125" i="8"/>
  <c r="V125" i="8" s="1"/>
  <c r="T109" i="8"/>
  <c r="V109" i="8" s="1"/>
  <c r="T93" i="8"/>
  <c r="V93" i="8" s="1"/>
  <c r="T180" i="8"/>
  <c r="V180" i="8" s="1"/>
  <c r="T164" i="8"/>
  <c r="V164" i="8" s="1"/>
  <c r="T148" i="8"/>
  <c r="V148" i="8" s="1"/>
  <c r="T132" i="8"/>
  <c r="V132" i="8" s="1"/>
  <c r="T116" i="8"/>
  <c r="V116" i="8" s="1"/>
  <c r="T100" i="8"/>
  <c r="V100" i="8" s="1"/>
  <c r="T84" i="8"/>
  <c r="V84" i="8" s="1"/>
  <c r="T179" i="8"/>
  <c r="V179" i="8" s="1"/>
  <c r="T139" i="8"/>
  <c r="V139" i="8" s="1"/>
  <c r="T99" i="8"/>
  <c r="V99" i="8" s="1"/>
  <c r="T186" i="8"/>
  <c r="V186" i="8" s="1"/>
  <c r="T170" i="8"/>
  <c r="V170" i="8" s="1"/>
  <c r="T154" i="8"/>
  <c r="V154" i="8" s="1"/>
  <c r="T138" i="8"/>
  <c r="V138" i="8" s="1"/>
  <c r="T122" i="8"/>
  <c r="V122" i="8" s="1"/>
  <c r="T106" i="8"/>
  <c r="V106" i="8" s="1"/>
  <c r="T90" i="8"/>
  <c r="V90" i="8" s="1"/>
  <c r="T163" i="8"/>
  <c r="V163" i="8" s="1"/>
  <c r="T131" i="8"/>
  <c r="V131" i="8" s="1"/>
  <c r="T107" i="8"/>
  <c r="V107" i="8" s="1"/>
  <c r="T83" i="8"/>
  <c r="V83" i="8" s="1"/>
  <c r="T177" i="8"/>
  <c r="V177" i="8" s="1"/>
  <c r="T161" i="8"/>
  <c r="V161" i="8" s="1"/>
  <c r="T145" i="8"/>
  <c r="V145" i="8" s="1"/>
  <c r="T129" i="8"/>
  <c r="V129" i="8" s="1"/>
  <c r="T113" i="8"/>
  <c r="V113" i="8" s="1"/>
  <c r="T97" i="8"/>
  <c r="V97" i="8" s="1"/>
  <c r="T176" i="8"/>
  <c r="V176" i="8" s="1"/>
  <c r="T160" i="8"/>
  <c r="V160" i="8" s="1"/>
  <c r="T144" i="8"/>
  <c r="V144" i="8" s="1"/>
  <c r="T128" i="8"/>
  <c r="V128" i="8" s="1"/>
  <c r="T112" i="8"/>
  <c r="V112" i="8" s="1"/>
  <c r="T96" i="8"/>
  <c r="V96" i="8" s="1"/>
  <c r="W4" i="10"/>
  <c r="J10" i="10"/>
  <c r="N10" i="10" s="1"/>
  <c r="R10" i="10"/>
  <c r="I4" i="10"/>
  <c r="R11" i="10"/>
  <c r="Q11" i="10"/>
  <c r="Q12" i="10" s="1"/>
  <c r="AG57" i="11" l="1"/>
  <c r="AB57" i="11"/>
  <c r="K11" i="10"/>
  <c r="V11" i="10" s="1"/>
  <c r="AA11" i="10"/>
  <c r="L10" i="10"/>
  <c r="P12" i="10"/>
  <c r="R12" i="10" s="1"/>
  <c r="Q13" i="10"/>
  <c r="P13" i="10"/>
  <c r="R13" i="10" s="1"/>
  <c r="S11" i="10"/>
  <c r="AG58" i="11" l="1"/>
  <c r="AB58" i="11"/>
  <c r="M10" i="10"/>
  <c r="U10" i="10" s="1"/>
  <c r="T10" i="10"/>
  <c r="Y10" i="10" s="1"/>
  <c r="X11" i="10"/>
  <c r="Q14" i="10"/>
  <c r="P14" i="10"/>
  <c r="R14" i="10" s="1"/>
  <c r="AG59" i="11" l="1"/>
  <c r="AB59" i="11"/>
  <c r="Z10" i="10"/>
  <c r="Q15" i="10"/>
  <c r="P15" i="10"/>
  <c r="R15" i="10" s="1"/>
  <c r="AG60" i="11" l="1"/>
  <c r="AB60" i="11"/>
  <c r="Q16" i="10"/>
  <c r="P16" i="10"/>
  <c r="R16" i="10" s="1"/>
  <c r="AG61" i="11" l="1"/>
  <c r="AB61" i="11"/>
  <c r="Q17" i="10"/>
  <c r="P17" i="10"/>
  <c r="R17" i="10" s="1"/>
  <c r="N11" i="10"/>
  <c r="AA12" i="10" s="1"/>
  <c r="L11" i="10"/>
  <c r="M11" i="10" s="1"/>
  <c r="AG62" i="11" l="1"/>
  <c r="AB62" i="11"/>
  <c r="X12" i="10"/>
  <c r="U11" i="10"/>
  <c r="T11" i="10"/>
  <c r="Y11" i="10" s="1"/>
  <c r="S12" i="10"/>
  <c r="K12" i="10"/>
  <c r="V12" i="10" s="1"/>
  <c r="Q18" i="10"/>
  <c r="P18" i="10"/>
  <c r="R18" i="10" s="1"/>
  <c r="AG63" i="11" l="1"/>
  <c r="AB63" i="11"/>
  <c r="Z11" i="10"/>
  <c r="Q19" i="10"/>
  <c r="P19" i="10"/>
  <c r="R19" i="10" s="1"/>
  <c r="D16" i="7"/>
  <c r="AG64" i="11" l="1"/>
  <c r="AB64" i="11"/>
  <c r="Q20" i="10"/>
  <c r="P20" i="10"/>
  <c r="R20" i="10" s="1"/>
  <c r="J12" i="10"/>
  <c r="AG65" i="11" l="1"/>
  <c r="AB65" i="11"/>
  <c r="Q21" i="10"/>
  <c r="P21" i="10"/>
  <c r="R21" i="10" s="1"/>
  <c r="N12" i="10"/>
  <c r="L12" i="10"/>
  <c r="M12" i="10" s="1"/>
  <c r="AG66" i="11" l="1"/>
  <c r="AB66" i="11"/>
  <c r="U12" i="10"/>
  <c r="S13" i="10"/>
  <c r="AA13" i="10"/>
  <c r="T12" i="10"/>
  <c r="Y12" i="10" s="1"/>
  <c r="Q22" i="10"/>
  <c r="P22" i="10"/>
  <c r="R22" i="10" s="1"/>
  <c r="K13" i="10"/>
  <c r="V13" i="10" s="1"/>
  <c r="AG67" i="11" l="1"/>
  <c r="AB67" i="11"/>
  <c r="X13" i="10"/>
  <c r="Z12" i="10"/>
  <c r="Q23" i="10"/>
  <c r="P23" i="10"/>
  <c r="R23" i="10" s="1"/>
  <c r="J13" i="10"/>
  <c r="L13" i="10" s="1"/>
  <c r="M13" i="10" s="1"/>
  <c r="AG68" i="11" l="1"/>
  <c r="AB68" i="11"/>
  <c r="U13" i="10"/>
  <c r="Z13" i="10" s="1"/>
  <c r="Q24" i="10"/>
  <c r="P24" i="10"/>
  <c r="R24" i="10" s="1"/>
  <c r="N13" i="10"/>
  <c r="AA14" i="10" s="1"/>
  <c r="T13" i="10"/>
  <c r="Y13" i="10" s="1"/>
  <c r="AG69" i="11" l="1"/>
  <c r="AB69" i="11"/>
  <c r="X14" i="10"/>
  <c r="S14" i="10"/>
  <c r="K14" i="10"/>
  <c r="V14" i="10" s="1"/>
  <c r="Q25" i="10"/>
  <c r="P25" i="10"/>
  <c r="R25" i="10" s="1"/>
  <c r="J14" i="10"/>
  <c r="N14" i="10" s="1"/>
  <c r="AA15" i="10" s="1"/>
  <c r="X15" i="10" s="1"/>
  <c r="AG70" i="11" l="1"/>
  <c r="AB70" i="11"/>
  <c r="L14" i="10"/>
  <c r="Q26" i="10"/>
  <c r="P26" i="10"/>
  <c r="R26" i="10" s="1"/>
  <c r="S15" i="10"/>
  <c r="AG71" i="11" l="1"/>
  <c r="AB71" i="11"/>
  <c r="T14" i="10"/>
  <c r="Y14" i="10" s="1"/>
  <c r="M14" i="10"/>
  <c r="Q27" i="10"/>
  <c r="P27" i="10"/>
  <c r="R27" i="10" s="1"/>
  <c r="K15" i="10"/>
  <c r="V15" i="10" s="1"/>
  <c r="J15" i="10"/>
  <c r="N15" i="10" s="1"/>
  <c r="AG72" i="11" l="1"/>
  <c r="AB72" i="11"/>
  <c r="S16" i="10"/>
  <c r="AA16" i="10"/>
  <c r="X16" i="10" s="1"/>
  <c r="U14" i="10"/>
  <c r="Z14" i="10" s="1"/>
  <c r="Q28" i="10"/>
  <c r="P28" i="10"/>
  <c r="R28" i="10" s="1"/>
  <c r="L15" i="10"/>
  <c r="K16" i="10"/>
  <c r="V16" i="10" s="1"/>
  <c r="AG73" i="11" l="1"/>
  <c r="AB73" i="11"/>
  <c r="T15" i="10"/>
  <c r="Y15" i="10" s="1"/>
  <c r="M15" i="10"/>
  <c r="U15" i="10" s="1"/>
  <c r="Z15" i="10" s="1"/>
  <c r="Q29" i="10"/>
  <c r="P29" i="10"/>
  <c r="R29" i="10" s="1"/>
  <c r="J16" i="10"/>
  <c r="L16" i="10" s="1"/>
  <c r="AG74" i="11" l="1"/>
  <c r="AB74" i="11"/>
  <c r="T16" i="10"/>
  <c r="Y16" i="10" s="1"/>
  <c r="M16" i="10"/>
  <c r="U16" i="10" s="1"/>
  <c r="Z16" i="10" s="1"/>
  <c r="Q30" i="10"/>
  <c r="P30" i="10"/>
  <c r="R30" i="10" s="1"/>
  <c r="N16" i="10"/>
  <c r="AA17" i="10" s="1"/>
  <c r="X17" i="10" s="1"/>
  <c r="J17" i="10"/>
  <c r="AG75" i="11" l="1"/>
  <c r="AB75" i="11"/>
  <c r="N17" i="10"/>
  <c r="Q31" i="10"/>
  <c r="P31" i="10"/>
  <c r="R31" i="10" s="1"/>
  <c r="S17" i="10"/>
  <c r="K17" i="10"/>
  <c r="V17" i="10" s="1"/>
  <c r="AG76" i="11" l="1"/>
  <c r="AB76" i="11"/>
  <c r="S18" i="10"/>
  <c r="AA18" i="10"/>
  <c r="X18" i="10" s="1"/>
  <c r="K18" i="10"/>
  <c r="V18" i="10" s="1"/>
  <c r="Q32" i="10"/>
  <c r="P32" i="10"/>
  <c r="R32" i="10" s="1"/>
  <c r="L17" i="10"/>
  <c r="J18" i="10"/>
  <c r="AG77" i="11" l="1"/>
  <c r="AB77" i="11"/>
  <c r="T17" i="10"/>
  <c r="Y17" i="10" s="1"/>
  <c r="M17" i="10"/>
  <c r="U17" i="10" s="1"/>
  <c r="Z17" i="10" s="1"/>
  <c r="L18" i="10"/>
  <c r="Q33" i="10"/>
  <c r="P33" i="10"/>
  <c r="R33" i="10" s="1"/>
  <c r="N18" i="10"/>
  <c r="AH77" i="11" l="1"/>
  <c r="AG78" i="11"/>
  <c r="AC77" i="11"/>
  <c r="AB78" i="11"/>
  <c r="S19" i="10"/>
  <c r="AA19" i="10"/>
  <c r="X19" i="10" s="1"/>
  <c r="T18" i="10"/>
  <c r="Y18" i="10" s="1"/>
  <c r="M18" i="10"/>
  <c r="U18" i="10" s="1"/>
  <c r="Z18" i="10" s="1"/>
  <c r="Q34" i="10"/>
  <c r="P34" i="10"/>
  <c r="R34" i="10" s="1"/>
  <c r="K19" i="10"/>
  <c r="V19" i="10" s="1"/>
  <c r="J19" i="10"/>
  <c r="N19" i="10" s="1"/>
  <c r="AH78" i="11" l="1"/>
  <c r="AG79" i="11"/>
  <c r="AB79" i="11"/>
  <c r="AC78" i="11"/>
  <c r="S20" i="10"/>
  <c r="AA20" i="10"/>
  <c r="X20" i="10" s="1"/>
  <c r="L19" i="10"/>
  <c r="Q35" i="10"/>
  <c r="P35" i="10"/>
  <c r="R35" i="10" s="1"/>
  <c r="K20" i="10"/>
  <c r="V20" i="10" s="1"/>
  <c r="AG80" i="11" l="1"/>
  <c r="AH79" i="11"/>
  <c r="AC79" i="11"/>
  <c r="AB80" i="11"/>
  <c r="T19" i="10"/>
  <c r="Y19" i="10" s="1"/>
  <c r="M19" i="10"/>
  <c r="U19" i="10" s="1"/>
  <c r="Z19" i="10" s="1"/>
  <c r="Q36" i="10"/>
  <c r="P36" i="10"/>
  <c r="R36" i="10" s="1"/>
  <c r="J20" i="10"/>
  <c r="L20" i="10" s="1"/>
  <c r="AH80" i="11" l="1"/>
  <c r="AG81" i="11"/>
  <c r="AB81" i="11"/>
  <c r="AC80" i="11"/>
  <c r="T20" i="10"/>
  <c r="Y20" i="10" s="1"/>
  <c r="M20" i="10"/>
  <c r="U20" i="10" s="1"/>
  <c r="Z20" i="10" s="1"/>
  <c r="N20" i="10"/>
  <c r="Q37" i="10"/>
  <c r="P37" i="10"/>
  <c r="R37" i="10" s="1"/>
  <c r="AH81" i="11" l="1"/>
  <c r="AG82" i="11"/>
  <c r="AB82" i="11"/>
  <c r="AC81" i="11"/>
  <c r="S21" i="10"/>
  <c r="AA21" i="10"/>
  <c r="X21" i="10" s="1"/>
  <c r="K21" i="10"/>
  <c r="V21" i="10" s="1"/>
  <c r="Q38" i="10"/>
  <c r="P38" i="10"/>
  <c r="R38" i="10" s="1"/>
  <c r="J21" i="10"/>
  <c r="AH82" i="11" l="1"/>
  <c r="AG83" i="11"/>
  <c r="AB83" i="11"/>
  <c r="AC82" i="11"/>
  <c r="L21" i="10"/>
  <c r="N21" i="10"/>
  <c r="Q39" i="10"/>
  <c r="P39" i="10"/>
  <c r="R39" i="10" s="1"/>
  <c r="AH83" i="11" l="1"/>
  <c r="AG84" i="11"/>
  <c r="AB84" i="11"/>
  <c r="AC83" i="11"/>
  <c r="S22" i="10"/>
  <c r="AA22" i="10"/>
  <c r="X22" i="10" s="1"/>
  <c r="T21" i="10"/>
  <c r="Y21" i="10" s="1"/>
  <c r="M21" i="10"/>
  <c r="U21" i="10" s="1"/>
  <c r="Z21" i="10" s="1"/>
  <c r="K22" i="10"/>
  <c r="V22" i="10" s="1"/>
  <c r="Q40" i="10"/>
  <c r="P40" i="10"/>
  <c r="R40" i="10" s="1"/>
  <c r="J22" i="10"/>
  <c r="N22" i="10" s="1"/>
  <c r="AH84" i="11" l="1"/>
  <c r="AG85" i="11"/>
  <c r="AC84" i="11"/>
  <c r="AB85" i="11"/>
  <c r="S23" i="10"/>
  <c r="AA23" i="10"/>
  <c r="X23" i="10" s="1"/>
  <c r="L22" i="10"/>
  <c r="Q41" i="10"/>
  <c r="P41" i="10"/>
  <c r="R41" i="10" s="1"/>
  <c r="K23" i="10"/>
  <c r="V23" i="10" s="1"/>
  <c r="AH85" i="11" l="1"/>
  <c r="AG86" i="11"/>
  <c r="AB86" i="11"/>
  <c r="AC85" i="11"/>
  <c r="T22" i="10"/>
  <c r="Y22" i="10" s="1"/>
  <c r="M22" i="10"/>
  <c r="U22" i="10" s="1"/>
  <c r="Z22" i="10" s="1"/>
  <c r="Q42" i="10"/>
  <c r="P42" i="10"/>
  <c r="R42" i="10" s="1"/>
  <c r="J23" i="10"/>
  <c r="L23" i="10" s="1"/>
  <c r="AH86" i="11" l="1"/>
  <c r="AG87" i="11"/>
  <c r="AC86" i="11"/>
  <c r="AB87" i="11"/>
  <c r="T23" i="10"/>
  <c r="Y23" i="10" s="1"/>
  <c r="M23" i="10"/>
  <c r="U23" i="10" s="1"/>
  <c r="Z23" i="10" s="1"/>
  <c r="N23" i="10"/>
  <c r="Q43" i="10"/>
  <c r="P43" i="10"/>
  <c r="R43" i="10" s="1"/>
  <c r="AH87" i="11" l="1"/>
  <c r="AG88" i="11"/>
  <c r="AB88" i="11"/>
  <c r="AC87" i="11"/>
  <c r="S24" i="10"/>
  <c r="AA24" i="10"/>
  <c r="X24" i="10" s="1"/>
  <c r="K24" i="10"/>
  <c r="V24" i="10" s="1"/>
  <c r="Q44" i="10"/>
  <c r="P44" i="10"/>
  <c r="R44" i="10" s="1"/>
  <c r="J24" i="10"/>
  <c r="AH88" i="11" l="1"/>
  <c r="AG89" i="11"/>
  <c r="AB89" i="11"/>
  <c r="AC88" i="11"/>
  <c r="L24" i="10"/>
  <c r="Q45" i="10"/>
  <c r="P45" i="10"/>
  <c r="R45" i="10" s="1"/>
  <c r="N24" i="10"/>
  <c r="J25" i="10"/>
  <c r="AH89" i="11" l="1"/>
  <c r="AG90" i="11"/>
  <c r="AB90" i="11"/>
  <c r="AC89" i="11"/>
  <c r="K25" i="10"/>
  <c r="V25" i="10" s="1"/>
  <c r="AA25" i="10"/>
  <c r="X25" i="10" s="1"/>
  <c r="T24" i="10"/>
  <c r="Y24" i="10" s="1"/>
  <c r="M24" i="10"/>
  <c r="U24" i="10" s="1"/>
  <c r="Z24" i="10" s="1"/>
  <c r="Q46" i="10"/>
  <c r="P46" i="10"/>
  <c r="R46" i="10" s="1"/>
  <c r="N25" i="10"/>
  <c r="S25" i="10"/>
  <c r="L25" i="10"/>
  <c r="AG91" i="11" l="1"/>
  <c r="AH90" i="11"/>
  <c r="AB91" i="11"/>
  <c r="AC90" i="11"/>
  <c r="T25" i="10"/>
  <c r="Y25" i="10" s="1"/>
  <c r="M25" i="10"/>
  <c r="U25" i="10" s="1"/>
  <c r="Z25" i="10" s="1"/>
  <c r="S26" i="10"/>
  <c r="AA26" i="10"/>
  <c r="X26" i="10" s="1"/>
  <c r="P47" i="10"/>
  <c r="R47" i="10" s="1"/>
  <c r="Q47" i="10"/>
  <c r="K26" i="10"/>
  <c r="V26" i="10" s="1"/>
  <c r="J26" i="10"/>
  <c r="N26" i="10" s="1"/>
  <c r="AH91" i="11" l="1"/>
  <c r="AG92" i="11"/>
  <c r="AB92" i="11"/>
  <c r="AC91" i="11"/>
  <c r="S27" i="10"/>
  <c r="AA27" i="10"/>
  <c r="X27" i="10" s="1"/>
  <c r="Q48" i="10"/>
  <c r="P48" i="10"/>
  <c r="R48" i="10" s="1"/>
  <c r="L26" i="10"/>
  <c r="K27" i="10"/>
  <c r="V27" i="10" s="1"/>
  <c r="AH92" i="11" l="1"/>
  <c r="AG93" i="11"/>
  <c r="AC92" i="11"/>
  <c r="AB93" i="11"/>
  <c r="T26" i="10"/>
  <c r="Y26" i="10" s="1"/>
  <c r="M26" i="10"/>
  <c r="U26" i="10" s="1"/>
  <c r="Z26" i="10" s="1"/>
  <c r="P49" i="10"/>
  <c r="R49" i="10" s="1"/>
  <c r="Q49" i="10"/>
  <c r="J27" i="10"/>
  <c r="L27" i="10" s="1"/>
  <c r="AH93" i="11" l="1"/>
  <c r="AG94" i="11"/>
  <c r="AC93" i="11"/>
  <c r="AB94" i="11"/>
  <c r="T27" i="10"/>
  <c r="Y27" i="10" s="1"/>
  <c r="M27" i="10"/>
  <c r="U27" i="10" s="1"/>
  <c r="Z27" i="10" s="1"/>
  <c r="N27" i="10"/>
  <c r="P50" i="10"/>
  <c r="R50" i="10" s="1"/>
  <c r="Q50" i="10"/>
  <c r="J28" i="10"/>
  <c r="AH94" i="11" l="1"/>
  <c r="AG95" i="11"/>
  <c r="AC94" i="11"/>
  <c r="AB95" i="11"/>
  <c r="S28" i="10"/>
  <c r="AA28" i="10"/>
  <c r="X28" i="10" s="1"/>
  <c r="N28" i="10"/>
  <c r="K28" i="10"/>
  <c r="V28" i="10" s="1"/>
  <c r="P51" i="10"/>
  <c r="R51" i="10" s="1"/>
  <c r="Q51" i="10"/>
  <c r="AH95" i="11" l="1"/>
  <c r="AG96" i="11"/>
  <c r="AB96" i="11"/>
  <c r="AC95" i="11"/>
  <c r="S29" i="10"/>
  <c r="AA29" i="10"/>
  <c r="X29" i="10" s="1"/>
  <c r="L28" i="10"/>
  <c r="K29" i="10"/>
  <c r="V29" i="10" s="1"/>
  <c r="P52" i="10"/>
  <c r="R52" i="10" s="1"/>
  <c r="Q52" i="10"/>
  <c r="J29" i="10"/>
  <c r="AH96" i="11" l="1"/>
  <c r="AG97" i="11"/>
  <c r="AB97" i="11"/>
  <c r="AC96" i="11"/>
  <c r="T28" i="10"/>
  <c r="Y28" i="10" s="1"/>
  <c r="M28" i="10"/>
  <c r="U28" i="10" s="1"/>
  <c r="Z28" i="10" s="1"/>
  <c r="L29" i="10"/>
  <c r="P53" i="10"/>
  <c r="R53" i="10" s="1"/>
  <c r="Q53" i="10"/>
  <c r="N29" i="10"/>
  <c r="AH97" i="11" l="1"/>
  <c r="AG98" i="11"/>
  <c r="AB98" i="11"/>
  <c r="AC97" i="11"/>
  <c r="S30" i="10"/>
  <c r="AA30" i="10"/>
  <c r="X30" i="10" s="1"/>
  <c r="T29" i="10"/>
  <c r="Y29" i="10" s="1"/>
  <c r="M29" i="10"/>
  <c r="U29" i="10" s="1"/>
  <c r="Z29" i="10" s="1"/>
  <c r="P54" i="10"/>
  <c r="R54" i="10" s="1"/>
  <c r="Q54" i="10"/>
  <c r="K30" i="10"/>
  <c r="V30" i="10" s="1"/>
  <c r="J30" i="10"/>
  <c r="N30" i="10" s="1"/>
  <c r="AH98" i="11" l="1"/>
  <c r="AG99" i="11"/>
  <c r="AB99" i="11"/>
  <c r="AC98" i="11"/>
  <c r="S31" i="10"/>
  <c r="AA31" i="10"/>
  <c r="X31" i="10" s="1"/>
  <c r="Q55" i="10"/>
  <c r="P55" i="10"/>
  <c r="R55" i="10" s="1"/>
  <c r="L30" i="10"/>
  <c r="K31" i="10"/>
  <c r="V31" i="10" s="1"/>
  <c r="AH99" i="11" l="1"/>
  <c r="AG100" i="11"/>
  <c r="AC99" i="11"/>
  <c r="AB100" i="11"/>
  <c r="T30" i="10"/>
  <c r="Y30" i="10" s="1"/>
  <c r="M30" i="10"/>
  <c r="U30" i="10" s="1"/>
  <c r="Z30" i="10" s="1"/>
  <c r="Q56" i="10"/>
  <c r="P56" i="10"/>
  <c r="R56" i="10" s="1"/>
  <c r="J31" i="10"/>
  <c r="L31" i="10" s="1"/>
  <c r="AH100" i="11" l="1"/>
  <c r="AG101" i="11"/>
  <c r="AB101" i="11"/>
  <c r="AC100" i="11"/>
  <c r="T31" i="10"/>
  <c r="Y31" i="10" s="1"/>
  <c r="M31" i="10"/>
  <c r="U31" i="10" s="1"/>
  <c r="Z31" i="10" s="1"/>
  <c r="P57" i="10"/>
  <c r="R57" i="10" s="1"/>
  <c r="Q57" i="10"/>
  <c r="N31" i="10"/>
  <c r="AH101" i="11" l="1"/>
  <c r="AG102" i="11"/>
  <c r="AB102" i="11"/>
  <c r="AC101" i="11"/>
  <c r="S32" i="10"/>
  <c r="AA32" i="10"/>
  <c r="X32" i="10" s="1"/>
  <c r="P58" i="10"/>
  <c r="R58" i="10" s="1"/>
  <c r="Q58" i="10"/>
  <c r="K32" i="10"/>
  <c r="V32" i="10" s="1"/>
  <c r="J32" i="10"/>
  <c r="J33" i="10"/>
  <c r="AH102" i="11" l="1"/>
  <c r="AG103" i="11"/>
  <c r="AB103" i="11"/>
  <c r="AC102" i="11"/>
  <c r="P59" i="10"/>
  <c r="R59" i="10" s="1"/>
  <c r="Q59" i="10"/>
  <c r="L32" i="10"/>
  <c r="N32" i="10"/>
  <c r="AA33" i="10" s="1"/>
  <c r="X33" i="10" s="1"/>
  <c r="AH103" i="11" l="1"/>
  <c r="AG104" i="11"/>
  <c r="AB104" i="11"/>
  <c r="AC103" i="11"/>
  <c r="T32" i="10"/>
  <c r="Y32" i="10" s="1"/>
  <c r="M32" i="10"/>
  <c r="U32" i="10" s="1"/>
  <c r="Z32" i="10" s="1"/>
  <c r="P60" i="10"/>
  <c r="R60" i="10" s="1"/>
  <c r="Q60" i="10"/>
  <c r="K33" i="10"/>
  <c r="V33" i="10" s="1"/>
  <c r="S33" i="10"/>
  <c r="N33" i="10"/>
  <c r="AA34" i="10" s="1"/>
  <c r="X34" i="10" s="1"/>
  <c r="J34" i="10"/>
  <c r="AH104" i="11" l="1"/>
  <c r="AG105" i="11"/>
  <c r="AB105" i="11"/>
  <c r="AC104" i="11"/>
  <c r="P61" i="10"/>
  <c r="R61" i="10" s="1"/>
  <c r="Q61" i="10"/>
  <c r="S34" i="10"/>
  <c r="N34" i="10"/>
  <c r="AA35" i="10" s="1"/>
  <c r="X35" i="10" s="1"/>
  <c r="K34" i="10"/>
  <c r="V34" i="10" s="1"/>
  <c r="L33" i="10"/>
  <c r="J35" i="10"/>
  <c r="AH105" i="11" l="1"/>
  <c r="AG106" i="11"/>
  <c r="AB106" i="11"/>
  <c r="AC105" i="11"/>
  <c r="T33" i="10"/>
  <c r="Y33" i="10" s="1"/>
  <c r="M33" i="10"/>
  <c r="U33" i="10" s="1"/>
  <c r="Z33" i="10" s="1"/>
  <c r="P62" i="10"/>
  <c r="R62" i="10" s="1"/>
  <c r="Q62" i="10"/>
  <c r="S35" i="10"/>
  <c r="N35" i="10"/>
  <c r="AA36" i="10" s="1"/>
  <c r="X36" i="10" s="1"/>
  <c r="K35" i="10"/>
  <c r="V35" i="10" s="1"/>
  <c r="L34" i="10"/>
  <c r="J36" i="10"/>
  <c r="AH106" i="11" l="1"/>
  <c r="AG107" i="11"/>
  <c r="AB107" i="11"/>
  <c r="AC106" i="11"/>
  <c r="T34" i="10"/>
  <c r="Y34" i="10" s="1"/>
  <c r="M34" i="10"/>
  <c r="U34" i="10" s="1"/>
  <c r="Z34" i="10" s="1"/>
  <c r="P63" i="10"/>
  <c r="R63" i="10" s="1"/>
  <c r="Q63" i="10"/>
  <c r="L35" i="10"/>
  <c r="S36" i="10"/>
  <c r="K36" i="10"/>
  <c r="V36" i="10" s="1"/>
  <c r="N36" i="10"/>
  <c r="AH107" i="11" l="1"/>
  <c r="AG108" i="11"/>
  <c r="AC107" i="11"/>
  <c r="AB108" i="11"/>
  <c r="S37" i="10"/>
  <c r="AA37" i="10"/>
  <c r="X37" i="10" s="1"/>
  <c r="T35" i="10"/>
  <c r="Y35" i="10" s="1"/>
  <c r="M35" i="10"/>
  <c r="U35" i="10" s="1"/>
  <c r="Z35" i="10" s="1"/>
  <c r="P64" i="10"/>
  <c r="R64" i="10" s="1"/>
  <c r="Q64" i="10"/>
  <c r="K37" i="10"/>
  <c r="V37" i="10" s="1"/>
  <c r="L36" i="10"/>
  <c r="J37" i="10"/>
  <c r="N37" i="10" s="1"/>
  <c r="AH108" i="11" l="1"/>
  <c r="AG109" i="11"/>
  <c r="AB109" i="11"/>
  <c r="AC108" i="11"/>
  <c r="S38" i="10"/>
  <c r="AA38" i="10"/>
  <c r="X38" i="10" s="1"/>
  <c r="T36" i="10"/>
  <c r="Y36" i="10" s="1"/>
  <c r="M36" i="10"/>
  <c r="U36" i="10" s="1"/>
  <c r="Z36" i="10" s="1"/>
  <c r="Q65" i="10"/>
  <c r="P65" i="10"/>
  <c r="R65" i="10" s="1"/>
  <c r="L37" i="10"/>
  <c r="K38" i="10"/>
  <c r="V38" i="10" s="1"/>
  <c r="AH109" i="11" l="1"/>
  <c r="AG110" i="11"/>
  <c r="AB110" i="11"/>
  <c r="AC109" i="11"/>
  <c r="T37" i="10"/>
  <c r="Y37" i="10" s="1"/>
  <c r="M37" i="10"/>
  <c r="U37" i="10" s="1"/>
  <c r="Z37" i="10" s="1"/>
  <c r="Q66" i="10"/>
  <c r="P66" i="10"/>
  <c r="R66" i="10" s="1"/>
  <c r="J38" i="10"/>
  <c r="L38" i="10" s="1"/>
  <c r="AG111" i="11" l="1"/>
  <c r="AH110" i="11"/>
  <c r="AB111" i="11"/>
  <c r="AC110" i="11"/>
  <c r="T38" i="10"/>
  <c r="Y38" i="10" s="1"/>
  <c r="M38" i="10"/>
  <c r="U38" i="10" s="1"/>
  <c r="Z38" i="10" s="1"/>
  <c r="Q67" i="10"/>
  <c r="P67" i="10"/>
  <c r="R67" i="10" s="1"/>
  <c r="N38" i="10"/>
  <c r="AA39" i="10" s="1"/>
  <c r="X39" i="10" s="1"/>
  <c r="J39" i="10"/>
  <c r="AG112" i="11" l="1"/>
  <c r="AH111" i="11"/>
  <c r="AB112" i="11"/>
  <c r="AC111" i="11"/>
  <c r="Q68" i="10"/>
  <c r="P68" i="10"/>
  <c r="R68" i="10" s="1"/>
  <c r="N39" i="10"/>
  <c r="S39" i="10"/>
  <c r="K39" i="10"/>
  <c r="V39" i="10" s="1"/>
  <c r="AG113" i="11" l="1"/>
  <c r="AH112" i="11"/>
  <c r="AB113" i="11"/>
  <c r="AC112" i="11"/>
  <c r="S40" i="10"/>
  <c r="AA40" i="10"/>
  <c r="X40" i="10" s="1"/>
  <c r="P69" i="10"/>
  <c r="R69" i="10" s="1"/>
  <c r="Q69" i="10"/>
  <c r="K40" i="10"/>
  <c r="V40" i="10" s="1"/>
  <c r="L39" i="10"/>
  <c r="J40" i="10"/>
  <c r="N40" i="10" s="1"/>
  <c r="AG114" i="11" l="1"/>
  <c r="AH113" i="11"/>
  <c r="AB114" i="11"/>
  <c r="AC113" i="11"/>
  <c r="S41" i="10"/>
  <c r="AA41" i="10"/>
  <c r="X41" i="10" s="1"/>
  <c r="T39" i="10"/>
  <c r="Y39" i="10" s="1"/>
  <c r="M39" i="10"/>
  <c r="U39" i="10" s="1"/>
  <c r="Z39" i="10" s="1"/>
  <c r="P70" i="10"/>
  <c r="R70" i="10" s="1"/>
  <c r="Q70" i="10"/>
  <c r="L40" i="10"/>
  <c r="K41" i="10"/>
  <c r="V41" i="10" s="1"/>
  <c r="AG115" i="11" l="1"/>
  <c r="AH114" i="11"/>
  <c r="AB115" i="11"/>
  <c r="AC114" i="11"/>
  <c r="T40" i="10"/>
  <c r="Y40" i="10" s="1"/>
  <c r="M40" i="10"/>
  <c r="U40" i="10" s="1"/>
  <c r="Z40" i="10" s="1"/>
  <c r="Q71" i="10"/>
  <c r="P71" i="10"/>
  <c r="R71" i="10" s="1"/>
  <c r="J41" i="10"/>
  <c r="L41" i="10" s="1"/>
  <c r="AG116" i="11" l="1"/>
  <c r="AH115" i="11"/>
  <c r="AC115" i="11"/>
  <c r="AB116" i="11"/>
  <c r="T41" i="10"/>
  <c r="Y41" i="10" s="1"/>
  <c r="M41" i="10"/>
  <c r="U41" i="10" s="1"/>
  <c r="Z41" i="10" s="1"/>
  <c r="P72" i="10"/>
  <c r="R72" i="10" s="1"/>
  <c r="Q72" i="10"/>
  <c r="N41" i="10"/>
  <c r="AG117" i="11" l="1"/>
  <c r="AH116" i="11"/>
  <c r="AB117" i="11"/>
  <c r="AC116" i="11"/>
  <c r="S42" i="10"/>
  <c r="AA42" i="10"/>
  <c r="X42" i="10" s="1"/>
  <c r="P73" i="10"/>
  <c r="R73" i="10" s="1"/>
  <c r="Q73" i="10"/>
  <c r="K42" i="10"/>
  <c r="V42" i="10" s="1"/>
  <c r="J42" i="10"/>
  <c r="N42" i="10" s="1"/>
  <c r="AA43" i="10" s="1"/>
  <c r="X43" i="10" s="1"/>
  <c r="AG118" i="11" l="1"/>
  <c r="AH117" i="11"/>
  <c r="AB118" i="11"/>
  <c r="AC117" i="11"/>
  <c r="Q74" i="10"/>
  <c r="P74" i="10"/>
  <c r="R74" i="10" s="1"/>
  <c r="L42" i="10"/>
  <c r="K43" i="10"/>
  <c r="V43" i="10" s="1"/>
  <c r="S43" i="10"/>
  <c r="J43" i="10"/>
  <c r="N43" i="10" s="1"/>
  <c r="AG119" i="11" l="1"/>
  <c r="AH118" i="11"/>
  <c r="AB119" i="11"/>
  <c r="AC118" i="11"/>
  <c r="S44" i="10"/>
  <c r="AA44" i="10"/>
  <c r="X44" i="10" s="1"/>
  <c r="T42" i="10"/>
  <c r="Y42" i="10" s="1"/>
  <c r="M42" i="10"/>
  <c r="U42" i="10" s="1"/>
  <c r="Z42" i="10" s="1"/>
  <c r="P75" i="10"/>
  <c r="R75" i="10" s="1"/>
  <c r="Q75" i="10"/>
  <c r="L43" i="10"/>
  <c r="K44" i="10"/>
  <c r="V44" i="10" s="1"/>
  <c r="AG120" i="11" l="1"/>
  <c r="AH119" i="11"/>
  <c r="AB120" i="11"/>
  <c r="AC119" i="11"/>
  <c r="T43" i="10"/>
  <c r="Y43" i="10" s="1"/>
  <c r="M43" i="10"/>
  <c r="U43" i="10" s="1"/>
  <c r="Z43" i="10" s="1"/>
  <c r="Q76" i="10"/>
  <c r="P76" i="10"/>
  <c r="R76" i="10" s="1"/>
  <c r="J44" i="10"/>
  <c r="L44" i="10" s="1"/>
  <c r="AG121" i="11" l="1"/>
  <c r="AH120" i="11"/>
  <c r="AB121" i="11"/>
  <c r="AC120" i="11"/>
  <c r="T44" i="10"/>
  <c r="Y44" i="10" s="1"/>
  <c r="M44" i="10"/>
  <c r="U44" i="10" s="1"/>
  <c r="Z44" i="10" s="1"/>
  <c r="Q77" i="10"/>
  <c r="P77" i="10"/>
  <c r="R77" i="10" s="1"/>
  <c r="N44" i="10"/>
  <c r="AG122" i="11" l="1"/>
  <c r="AH121" i="11"/>
  <c r="AB122" i="11"/>
  <c r="AC121" i="11"/>
  <c r="S45" i="10"/>
  <c r="AA45" i="10"/>
  <c r="Q78" i="10"/>
  <c r="P78" i="10"/>
  <c r="R78" i="10" s="1"/>
  <c r="K45" i="10"/>
  <c r="V45" i="10" s="1"/>
  <c r="AG123" i="11" l="1"/>
  <c r="AH122" i="11"/>
  <c r="AB123" i="11"/>
  <c r="AC122" i="11"/>
  <c r="X45" i="10"/>
  <c r="P79" i="10"/>
  <c r="R79" i="10" s="1"/>
  <c r="Q79" i="10"/>
  <c r="J45" i="10"/>
  <c r="J4" i="10" s="1"/>
  <c r="AG124" i="11" l="1"/>
  <c r="AH123" i="11"/>
  <c r="AC123" i="11"/>
  <c r="AB124" i="11"/>
  <c r="Q80" i="10"/>
  <c r="P80" i="10"/>
  <c r="R80" i="10" s="1"/>
  <c r="N45" i="10"/>
  <c r="AA46" i="10" s="1"/>
  <c r="L45" i="10"/>
  <c r="X46" i="10" l="1"/>
  <c r="AG125" i="11"/>
  <c r="AH124" i="11"/>
  <c r="AB125" i="11"/>
  <c r="AC124" i="11"/>
  <c r="T45" i="10"/>
  <c r="Y45" i="10" s="1"/>
  <c r="M45" i="10"/>
  <c r="U45" i="10" s="1"/>
  <c r="Z45" i="10" s="1"/>
  <c r="Q81" i="10"/>
  <c r="P81" i="10"/>
  <c r="R81" i="10" s="1"/>
  <c r="S46" i="10"/>
  <c r="K46" i="10"/>
  <c r="V46" i="10" s="1"/>
  <c r="N46" i="10"/>
  <c r="AA47" i="10" s="1"/>
  <c r="X47" i="10" s="1"/>
  <c r="O4" i="10"/>
  <c r="AG126" i="11" l="1"/>
  <c r="AH125" i="11"/>
  <c r="AB126" i="11"/>
  <c r="AC125" i="11"/>
  <c r="P82" i="10"/>
  <c r="R82" i="10" s="1"/>
  <c r="Q82" i="10"/>
  <c r="S47" i="10"/>
  <c r="N47" i="10"/>
  <c r="AA48" i="10" s="1"/>
  <c r="X48" i="10" s="1"/>
  <c r="K47" i="10"/>
  <c r="V47" i="10" s="1"/>
  <c r="L46" i="10"/>
  <c r="AG127" i="11" l="1"/>
  <c r="AH126" i="11"/>
  <c r="AB127" i="11"/>
  <c r="AC126" i="11"/>
  <c r="T46" i="10"/>
  <c r="Y46" i="10" s="1"/>
  <c r="M46" i="10"/>
  <c r="U46" i="10" s="1"/>
  <c r="Z46" i="10" s="1"/>
  <c r="Q83" i="10"/>
  <c r="P83" i="10"/>
  <c r="R83" i="10" s="1"/>
  <c r="S48" i="10"/>
  <c r="K48" i="10"/>
  <c r="V48" i="10" s="1"/>
  <c r="N48" i="10"/>
  <c r="AA49" i="10" s="1"/>
  <c r="X49" i="10" s="1"/>
  <c r="L47" i="10"/>
  <c r="AG128" i="11" l="1"/>
  <c r="AH127" i="11"/>
  <c r="AB128" i="11"/>
  <c r="AC127" i="11"/>
  <c r="T47" i="10"/>
  <c r="M47" i="10"/>
  <c r="U47" i="10" s="1"/>
  <c r="Z47" i="10" s="1"/>
  <c r="P84" i="10"/>
  <c r="R84" i="10" s="1"/>
  <c r="Q84" i="10"/>
  <c r="Y47" i="10"/>
  <c r="N49" i="10"/>
  <c r="AA50" i="10" s="1"/>
  <c r="X50" i="10" s="1"/>
  <c r="K49" i="10"/>
  <c r="V49" i="10" s="1"/>
  <c r="S49" i="10"/>
  <c r="L48" i="10"/>
  <c r="AG129" i="11" l="1"/>
  <c r="AH128" i="11"/>
  <c r="AB129" i="11"/>
  <c r="AC128" i="11"/>
  <c r="T48" i="10"/>
  <c r="M48" i="10"/>
  <c r="U48" i="10" s="1"/>
  <c r="Z48" i="10" s="1"/>
  <c r="P85" i="10"/>
  <c r="R85" i="10" s="1"/>
  <c r="Q85" i="10"/>
  <c r="Y48" i="10"/>
  <c r="S50" i="10"/>
  <c r="N50" i="10"/>
  <c r="AA51" i="10" s="1"/>
  <c r="K50" i="10"/>
  <c r="V50" i="10" s="1"/>
  <c r="L49" i="10"/>
  <c r="X51" i="10" l="1"/>
  <c r="AG130" i="11"/>
  <c r="AH129" i="11"/>
  <c r="AC129" i="11"/>
  <c r="AB130" i="11"/>
  <c r="T49" i="10"/>
  <c r="Y49" i="10" s="1"/>
  <c r="M49" i="10"/>
  <c r="U49" i="10" s="1"/>
  <c r="Z49" i="10" s="1"/>
  <c r="P86" i="10"/>
  <c r="R86" i="10" s="1"/>
  <c r="Q86" i="10"/>
  <c r="K51" i="10"/>
  <c r="V51" i="10" s="1"/>
  <c r="N51" i="10"/>
  <c r="AA52" i="10" s="1"/>
  <c r="X52" i="10" s="1"/>
  <c r="S51" i="10"/>
  <c r="L50" i="10"/>
  <c r="AG131" i="11" l="1"/>
  <c r="AH130" i="11"/>
  <c r="AB131" i="11"/>
  <c r="AC130" i="11"/>
  <c r="T50" i="10"/>
  <c r="M50" i="10"/>
  <c r="U50" i="10" s="1"/>
  <c r="Z50" i="10" s="1"/>
  <c r="P87" i="10"/>
  <c r="R87" i="10" s="1"/>
  <c r="Q87" i="10"/>
  <c r="Y50" i="10"/>
  <c r="K52" i="10"/>
  <c r="V52" i="10" s="1"/>
  <c r="S52" i="10"/>
  <c r="N52" i="10"/>
  <c r="AA53" i="10" s="1"/>
  <c r="X53" i="10" s="1"/>
  <c r="L51" i="10"/>
  <c r="AG132" i="11" l="1"/>
  <c r="AH131" i="11"/>
  <c r="AB132" i="11"/>
  <c r="AC131" i="11"/>
  <c r="T51" i="10"/>
  <c r="M51" i="10"/>
  <c r="U51" i="10" s="1"/>
  <c r="Z51" i="10" s="1"/>
  <c r="P88" i="10"/>
  <c r="R88" i="10" s="1"/>
  <c r="Q88" i="10"/>
  <c r="Y51" i="10"/>
  <c r="S53" i="10"/>
  <c r="K53" i="10"/>
  <c r="V53" i="10" s="1"/>
  <c r="N53" i="10"/>
  <c r="AA54" i="10" s="1"/>
  <c r="X54" i="10" s="1"/>
  <c r="L52" i="10"/>
  <c r="AG133" i="11" l="1"/>
  <c r="AH132" i="11"/>
  <c r="AB133" i="11"/>
  <c r="AC132" i="11"/>
  <c r="T52" i="10"/>
  <c r="M52" i="10"/>
  <c r="U52" i="10" s="1"/>
  <c r="Z52" i="10" s="1"/>
  <c r="P89" i="10"/>
  <c r="R89" i="10" s="1"/>
  <c r="Q89" i="10"/>
  <c r="Y52" i="10"/>
  <c r="K54" i="10"/>
  <c r="V54" i="10" s="1"/>
  <c r="N54" i="10"/>
  <c r="AA55" i="10" s="1"/>
  <c r="X55" i="10" s="1"/>
  <c r="S54" i="10"/>
  <c r="L53" i="10"/>
  <c r="AG134" i="11" l="1"/>
  <c r="AH133" i="11"/>
  <c r="AB134" i="11"/>
  <c r="AC133" i="11"/>
  <c r="T53" i="10"/>
  <c r="M53" i="10"/>
  <c r="U53" i="10" s="1"/>
  <c r="Z53" i="10" s="1"/>
  <c r="Q90" i="10"/>
  <c r="P90" i="10"/>
  <c r="R90" i="10" s="1"/>
  <c r="Y53" i="10"/>
  <c r="L54" i="10"/>
  <c r="N55" i="10"/>
  <c r="AA56" i="10" s="1"/>
  <c r="X56" i="10" s="1"/>
  <c r="K55" i="10"/>
  <c r="V55" i="10" s="1"/>
  <c r="S55" i="10"/>
  <c r="AG135" i="11" l="1"/>
  <c r="AH134" i="11"/>
  <c r="AB135" i="11"/>
  <c r="AC134" i="11"/>
  <c r="T54" i="10"/>
  <c r="M54" i="10"/>
  <c r="U54" i="10" s="1"/>
  <c r="Z54" i="10" s="1"/>
  <c r="P91" i="10"/>
  <c r="R91" i="10" s="1"/>
  <c r="Q91" i="10"/>
  <c r="Y54" i="10"/>
  <c r="L55" i="10"/>
  <c r="K56" i="10"/>
  <c r="V56" i="10" s="1"/>
  <c r="N56" i="10"/>
  <c r="AA57" i="10" s="1"/>
  <c r="X57" i="10" s="1"/>
  <c r="S56" i="10"/>
  <c r="AG136" i="11" l="1"/>
  <c r="AH135" i="11"/>
  <c r="AB136" i="11"/>
  <c r="AC135" i="11"/>
  <c r="T55" i="10"/>
  <c r="Y55" i="10" s="1"/>
  <c r="M55" i="10"/>
  <c r="U55" i="10" s="1"/>
  <c r="Z55" i="10" s="1"/>
  <c r="Q92" i="10"/>
  <c r="P92" i="10"/>
  <c r="R92" i="10" s="1"/>
  <c r="L56" i="10"/>
  <c r="K57" i="10"/>
  <c r="V57" i="10" s="1"/>
  <c r="N57" i="10"/>
  <c r="AA58" i="10" s="1"/>
  <c r="X58" i="10" s="1"/>
  <c r="S57" i="10"/>
  <c r="AG137" i="11" l="1"/>
  <c r="AH136" i="11"/>
  <c r="AB137" i="11"/>
  <c r="AC136" i="11"/>
  <c r="T56" i="10"/>
  <c r="Y56" i="10" s="1"/>
  <c r="M56" i="10"/>
  <c r="U56" i="10" s="1"/>
  <c r="Z56" i="10" s="1"/>
  <c r="Q93" i="10"/>
  <c r="P93" i="10"/>
  <c r="R93" i="10" s="1"/>
  <c r="S58" i="10"/>
  <c r="K58" i="10"/>
  <c r="V58" i="10" s="1"/>
  <c r="N58" i="10"/>
  <c r="AA59" i="10" s="1"/>
  <c r="X59" i="10" s="1"/>
  <c r="L57" i="10"/>
  <c r="AG138" i="11" l="1"/>
  <c r="AH137" i="11"/>
  <c r="AB138" i="11"/>
  <c r="AC137" i="11"/>
  <c r="T57" i="10"/>
  <c r="M57" i="10"/>
  <c r="U57" i="10" s="1"/>
  <c r="Z57" i="10" s="1"/>
  <c r="P94" i="10"/>
  <c r="R94" i="10" s="1"/>
  <c r="Q94" i="10"/>
  <c r="Y57" i="10"/>
  <c r="S59" i="10"/>
  <c r="N59" i="10"/>
  <c r="AA60" i="10" s="1"/>
  <c r="X60" i="10" s="1"/>
  <c r="K59" i="10"/>
  <c r="V59" i="10" s="1"/>
  <c r="L58" i="10"/>
  <c r="AG139" i="11" l="1"/>
  <c r="AH138" i="11"/>
  <c r="AB139" i="11"/>
  <c r="AC138" i="11"/>
  <c r="T58" i="10"/>
  <c r="Y58" i="10" s="1"/>
  <c r="M58" i="10"/>
  <c r="U58" i="10" s="1"/>
  <c r="Z58" i="10" s="1"/>
  <c r="Q95" i="10"/>
  <c r="P95" i="10"/>
  <c r="R95" i="10" s="1"/>
  <c r="L59" i="10"/>
  <c r="K60" i="10"/>
  <c r="V60" i="10" s="1"/>
  <c r="N60" i="10"/>
  <c r="AA61" i="10" s="1"/>
  <c r="X61" i="10" s="1"/>
  <c r="S60" i="10"/>
  <c r="AG140" i="11" l="1"/>
  <c r="AH139" i="11"/>
  <c r="AB140" i="11"/>
  <c r="AC139" i="11"/>
  <c r="T59" i="10"/>
  <c r="M59" i="10"/>
  <c r="U59" i="10" s="1"/>
  <c r="Z59" i="10" s="1"/>
  <c r="Q96" i="10"/>
  <c r="P96" i="10"/>
  <c r="R96" i="10" s="1"/>
  <c r="Y59" i="10"/>
  <c r="N61" i="10"/>
  <c r="AA62" i="10" s="1"/>
  <c r="X62" i="10" s="1"/>
  <c r="S61" i="10"/>
  <c r="K61" i="10"/>
  <c r="V61" i="10" s="1"/>
  <c r="L60" i="10"/>
  <c r="AH140" i="11" l="1"/>
  <c r="AG141" i="11"/>
  <c r="AB141" i="11"/>
  <c r="AC140" i="11"/>
  <c r="T60" i="10"/>
  <c r="Y60" i="10" s="1"/>
  <c r="M60" i="10"/>
  <c r="U60" i="10" s="1"/>
  <c r="Z60" i="10" s="1"/>
  <c r="Q97" i="10"/>
  <c r="P97" i="10"/>
  <c r="R97" i="10" s="1"/>
  <c r="L61" i="10"/>
  <c r="N62" i="10"/>
  <c r="AA63" i="10" s="1"/>
  <c r="X63" i="10" s="1"/>
  <c r="S62" i="10"/>
  <c r="K62" i="10"/>
  <c r="V62" i="10" s="1"/>
  <c r="AH141" i="11" l="1"/>
  <c r="AG142" i="11"/>
  <c r="AB142" i="11"/>
  <c r="AC141" i="11"/>
  <c r="T61" i="10"/>
  <c r="Y61" i="10" s="1"/>
  <c r="M61" i="10"/>
  <c r="U61" i="10" s="1"/>
  <c r="Z61" i="10" s="1"/>
  <c r="P98" i="10"/>
  <c r="R98" i="10" s="1"/>
  <c r="Q98" i="10"/>
  <c r="L62" i="10"/>
  <c r="S63" i="10"/>
  <c r="N63" i="10"/>
  <c r="AA64" i="10" s="1"/>
  <c r="X64" i="10" s="1"/>
  <c r="K63" i="10"/>
  <c r="V63" i="10" s="1"/>
  <c r="AH142" i="11" l="1"/>
  <c r="AG143" i="11"/>
  <c r="AC142" i="11"/>
  <c r="AB143" i="11"/>
  <c r="T62" i="10"/>
  <c r="M62" i="10"/>
  <c r="U62" i="10" s="1"/>
  <c r="Z62" i="10" s="1"/>
  <c r="Q99" i="10"/>
  <c r="P99" i="10"/>
  <c r="R99" i="10" s="1"/>
  <c r="Y62" i="10"/>
  <c r="L63" i="10"/>
  <c r="N64" i="10"/>
  <c r="AA65" i="10" s="1"/>
  <c r="X65" i="10" s="1"/>
  <c r="S64" i="10"/>
  <c r="K64" i="10"/>
  <c r="V64" i="10" s="1"/>
  <c r="AG144" i="11" l="1"/>
  <c r="AH143" i="11"/>
  <c r="AB144" i="11"/>
  <c r="AC143" i="11"/>
  <c r="T63" i="10"/>
  <c r="M63" i="10"/>
  <c r="U63" i="10" s="1"/>
  <c r="Z63" i="10" s="1"/>
  <c r="P100" i="10"/>
  <c r="R100" i="10" s="1"/>
  <c r="Q100" i="10"/>
  <c r="Y63" i="10"/>
  <c r="L64" i="10"/>
  <c r="K65" i="10"/>
  <c r="V65" i="10" s="1"/>
  <c r="N65" i="10"/>
  <c r="AA66" i="10" s="1"/>
  <c r="X66" i="10" s="1"/>
  <c r="S65" i="10"/>
  <c r="AG145" i="11" l="1"/>
  <c r="AH144" i="11"/>
  <c r="AB145" i="11"/>
  <c r="AC144" i="11"/>
  <c r="T64" i="10"/>
  <c r="M64" i="10"/>
  <c r="U64" i="10" s="1"/>
  <c r="Z64" i="10" s="1"/>
  <c r="P101" i="10"/>
  <c r="R101" i="10" s="1"/>
  <c r="Q101" i="10"/>
  <c r="Y64" i="10"/>
  <c r="S66" i="10"/>
  <c r="N66" i="10"/>
  <c r="AA67" i="10" s="1"/>
  <c r="X67" i="10" s="1"/>
  <c r="K66" i="10"/>
  <c r="V66" i="10" s="1"/>
  <c r="L65" i="10"/>
  <c r="AH145" i="11" l="1"/>
  <c r="AG146" i="11"/>
  <c r="AC145" i="11"/>
  <c r="AB146" i="11"/>
  <c r="T65" i="10"/>
  <c r="M65" i="10"/>
  <c r="U65" i="10" s="1"/>
  <c r="Z65" i="10" s="1"/>
  <c r="P102" i="10"/>
  <c r="R102" i="10" s="1"/>
  <c r="Q102" i="10"/>
  <c r="Y65" i="10"/>
  <c r="L66" i="10"/>
  <c r="K67" i="10"/>
  <c r="V67" i="10" s="1"/>
  <c r="N67" i="10"/>
  <c r="AA68" i="10" s="1"/>
  <c r="X68" i="10" s="1"/>
  <c r="S67" i="10"/>
  <c r="AG147" i="11" l="1"/>
  <c r="AH146" i="11"/>
  <c r="AB147" i="11"/>
  <c r="AC146" i="11"/>
  <c r="T66" i="10"/>
  <c r="M66" i="10"/>
  <c r="U66" i="10" s="1"/>
  <c r="Z66" i="10" s="1"/>
  <c r="P103" i="10"/>
  <c r="R103" i="10" s="1"/>
  <c r="Q103" i="10"/>
  <c r="Y66" i="10"/>
  <c r="K68" i="10"/>
  <c r="V68" i="10" s="1"/>
  <c r="N68" i="10"/>
  <c r="AA69" i="10" s="1"/>
  <c r="X69" i="10" s="1"/>
  <c r="S68" i="10"/>
  <c r="L67" i="10"/>
  <c r="AG148" i="11" l="1"/>
  <c r="AH147" i="11"/>
  <c r="AB148" i="11"/>
  <c r="AC147" i="11"/>
  <c r="T67" i="10"/>
  <c r="M67" i="10"/>
  <c r="U67" i="10" s="1"/>
  <c r="Z67" i="10" s="1"/>
  <c r="P104" i="10"/>
  <c r="R104" i="10" s="1"/>
  <c r="Q104" i="10"/>
  <c r="Y67" i="10"/>
  <c r="S69" i="10"/>
  <c r="K69" i="10"/>
  <c r="V69" i="10" s="1"/>
  <c r="N69" i="10"/>
  <c r="AA70" i="10" s="1"/>
  <c r="X70" i="10" s="1"/>
  <c r="L68" i="10"/>
  <c r="AG149" i="11" l="1"/>
  <c r="AH148" i="11"/>
  <c r="AB149" i="11"/>
  <c r="AC148" i="11"/>
  <c r="T68" i="10"/>
  <c r="Y68" i="10" s="1"/>
  <c r="M68" i="10"/>
  <c r="U68" i="10" s="1"/>
  <c r="Z68" i="10" s="1"/>
  <c r="S70" i="10"/>
  <c r="N70" i="10"/>
  <c r="AA71" i="10" s="1"/>
  <c r="X71" i="10" s="1"/>
  <c r="K70" i="10"/>
  <c r="V70" i="10" s="1"/>
  <c r="P105" i="10"/>
  <c r="R105" i="10" s="1"/>
  <c r="Q105" i="10"/>
  <c r="L69" i="10"/>
  <c r="M69" i="10" s="1"/>
  <c r="U69" i="10" s="1"/>
  <c r="Z69" i="10" s="1"/>
  <c r="AG150" i="11" l="1"/>
  <c r="AH149" i="11"/>
  <c r="AB150" i="11"/>
  <c r="AC149" i="11"/>
  <c r="S71" i="10"/>
  <c r="K71" i="10"/>
  <c r="V71" i="10" s="1"/>
  <c r="N71" i="10"/>
  <c r="AA72" i="10" s="1"/>
  <c r="X72" i="10" s="1"/>
  <c r="Q106" i="10"/>
  <c r="P106" i="10"/>
  <c r="R106" i="10" s="1"/>
  <c r="L70" i="10"/>
  <c r="T69" i="10"/>
  <c r="Y69" i="10" s="1"/>
  <c r="AG151" i="11" l="1"/>
  <c r="AH150" i="11"/>
  <c r="AB151" i="11"/>
  <c r="AC150" i="11"/>
  <c r="T70" i="10"/>
  <c r="Y70" i="10" s="1"/>
  <c r="M70" i="10"/>
  <c r="U70" i="10" s="1"/>
  <c r="Z70" i="10" s="1"/>
  <c r="P107" i="10"/>
  <c r="R107" i="10" s="1"/>
  <c r="Q107" i="10"/>
  <c r="L71" i="10"/>
  <c r="M71" i="10" s="1"/>
  <c r="U71" i="10" s="1"/>
  <c r="Z71" i="10" s="1"/>
  <c r="N72" i="10"/>
  <c r="AA73" i="10" s="1"/>
  <c r="X73" i="10" s="1"/>
  <c r="S72" i="10"/>
  <c r="K72" i="10"/>
  <c r="V72" i="10" s="1"/>
  <c r="AH151" i="11" l="1"/>
  <c r="AG152" i="11"/>
  <c r="AB152" i="11"/>
  <c r="AC151" i="11"/>
  <c r="L72" i="10"/>
  <c r="S73" i="10"/>
  <c r="K73" i="10"/>
  <c r="V73" i="10" s="1"/>
  <c r="N73" i="10"/>
  <c r="AA74" i="10" s="1"/>
  <c r="X74" i="10" s="1"/>
  <c r="T71" i="10"/>
  <c r="Q108" i="10"/>
  <c r="P108" i="10"/>
  <c r="R108" i="10" s="1"/>
  <c r="AH152" i="11" l="1"/>
  <c r="AG153" i="11"/>
  <c r="AB153" i="11"/>
  <c r="AC152" i="11"/>
  <c r="T72" i="10"/>
  <c r="Y72" i="10" s="1"/>
  <c r="M72" i="10"/>
  <c r="U72" i="10" s="1"/>
  <c r="Z72" i="10" s="1"/>
  <c r="Q109" i="10"/>
  <c r="P109" i="10"/>
  <c r="R109" i="10" s="1"/>
  <c r="S74" i="10"/>
  <c r="N74" i="10"/>
  <c r="AA75" i="10" s="1"/>
  <c r="X75" i="10" s="1"/>
  <c r="K74" i="10"/>
  <c r="V74" i="10" s="1"/>
  <c r="Y71" i="10"/>
  <c r="L73" i="10"/>
  <c r="M73" i="10" s="1"/>
  <c r="U73" i="10" s="1"/>
  <c r="Z73" i="10" s="1"/>
  <c r="AG154" i="11" l="1"/>
  <c r="AH153" i="11"/>
  <c r="AC153" i="11"/>
  <c r="AB154" i="11"/>
  <c r="S75" i="10"/>
  <c r="K75" i="10"/>
  <c r="V75" i="10" s="1"/>
  <c r="N75" i="10"/>
  <c r="AA76" i="10" s="1"/>
  <c r="X76" i="10" s="1"/>
  <c r="T73" i="10"/>
  <c r="L74" i="10"/>
  <c r="Q110" i="10"/>
  <c r="P110" i="10"/>
  <c r="R110" i="10" s="1"/>
  <c r="AG155" i="11" l="1"/>
  <c r="AH154" i="11"/>
  <c r="AC154" i="11"/>
  <c r="AB155" i="11"/>
  <c r="T74" i="10"/>
  <c r="Y74" i="10" s="1"/>
  <c r="M74" i="10"/>
  <c r="U74" i="10" s="1"/>
  <c r="Z74" i="10" s="1"/>
  <c r="P111" i="10"/>
  <c r="R111" i="10" s="1"/>
  <c r="Q111" i="10"/>
  <c r="Y73" i="10"/>
  <c r="L75" i="10"/>
  <c r="K76" i="10"/>
  <c r="V76" i="10" s="1"/>
  <c r="N76" i="10"/>
  <c r="AA77" i="10" s="1"/>
  <c r="X77" i="10" s="1"/>
  <c r="S76" i="10"/>
  <c r="AG156" i="11" l="1"/>
  <c r="AH155" i="11"/>
  <c r="AB156" i="11"/>
  <c r="AC155" i="11"/>
  <c r="T75" i="10"/>
  <c r="Y75" i="10" s="1"/>
  <c r="M75" i="10"/>
  <c r="U75" i="10" s="1"/>
  <c r="Z75" i="10" s="1"/>
  <c r="N77" i="10"/>
  <c r="AA78" i="10" s="1"/>
  <c r="X78" i="10" s="1"/>
  <c r="S77" i="10"/>
  <c r="K77" i="10"/>
  <c r="V77" i="10" s="1"/>
  <c r="L76" i="10"/>
  <c r="M76" i="10" s="1"/>
  <c r="U76" i="10" s="1"/>
  <c r="Z76" i="10" s="1"/>
  <c r="Q112" i="10"/>
  <c r="P112" i="10"/>
  <c r="R112" i="10" s="1"/>
  <c r="AG157" i="11" l="1"/>
  <c r="AH156" i="11"/>
  <c r="AB157" i="11"/>
  <c r="AC156" i="11"/>
  <c r="Q113" i="10"/>
  <c r="P113" i="10"/>
  <c r="R113" i="10" s="1"/>
  <c r="T76" i="10"/>
  <c r="L77" i="10"/>
  <c r="S78" i="10"/>
  <c r="N78" i="10"/>
  <c r="AA79" i="10" s="1"/>
  <c r="X79" i="10" s="1"/>
  <c r="K78" i="10"/>
  <c r="V78" i="10" s="1"/>
  <c r="AG158" i="11" l="1"/>
  <c r="AH157" i="11"/>
  <c r="AB158" i="11"/>
  <c r="AC157" i="11"/>
  <c r="T77" i="10"/>
  <c r="Y77" i="10" s="1"/>
  <c r="M77" i="10"/>
  <c r="U77" i="10" s="1"/>
  <c r="Z77" i="10" s="1"/>
  <c r="L78" i="10"/>
  <c r="M78" i="10" s="1"/>
  <c r="U78" i="10" s="1"/>
  <c r="Z78" i="10" s="1"/>
  <c r="S79" i="10"/>
  <c r="N79" i="10"/>
  <c r="AA80" i="10" s="1"/>
  <c r="X80" i="10" s="1"/>
  <c r="K79" i="10"/>
  <c r="V79" i="10" s="1"/>
  <c r="Y76" i="10"/>
  <c r="P114" i="10"/>
  <c r="R114" i="10" s="1"/>
  <c r="Q114" i="10"/>
  <c r="AH158" i="11" l="1"/>
  <c r="AG159" i="11"/>
  <c r="AB159" i="11"/>
  <c r="AC158" i="11"/>
  <c r="Q115" i="10"/>
  <c r="P115" i="10"/>
  <c r="R115" i="10" s="1"/>
  <c r="S80" i="10"/>
  <c r="K80" i="10"/>
  <c r="V80" i="10" s="1"/>
  <c r="N80" i="10"/>
  <c r="AA81" i="10" s="1"/>
  <c r="L79" i="10"/>
  <c r="T78" i="10"/>
  <c r="AG160" i="11" l="1"/>
  <c r="AH159" i="11"/>
  <c r="X81" i="10"/>
  <c r="X4" i="10" s="1"/>
  <c r="AA4" i="10"/>
  <c r="AB160" i="11"/>
  <c r="AC159" i="11"/>
  <c r="T79" i="10"/>
  <c r="M79" i="10"/>
  <c r="U79" i="10" s="1"/>
  <c r="Z79" i="10" s="1"/>
  <c r="Y78" i="10"/>
  <c r="L80" i="10"/>
  <c r="Y79" i="10"/>
  <c r="N81" i="10"/>
  <c r="K81" i="10"/>
  <c r="V81" i="10" s="1"/>
  <c r="S81" i="10"/>
  <c r="P116" i="10"/>
  <c r="R116" i="10" s="1"/>
  <c r="Q116" i="10"/>
  <c r="AG161" i="11" l="1"/>
  <c r="AH160" i="11"/>
  <c r="AB161" i="11"/>
  <c r="AC160" i="11"/>
  <c r="T80" i="10"/>
  <c r="Y80" i="10" s="1"/>
  <c r="M80" i="10"/>
  <c r="U80" i="10" s="1"/>
  <c r="Z80" i="10" s="1"/>
  <c r="P117" i="10"/>
  <c r="R117" i="10" s="1"/>
  <c r="Q117" i="10"/>
  <c r="S82" i="10"/>
  <c r="N82" i="10"/>
  <c r="K82" i="10"/>
  <c r="V82" i="10" s="1"/>
  <c r="L81" i="10"/>
  <c r="AG162" i="11" l="1"/>
  <c r="AH161" i="11"/>
  <c r="AC161" i="11"/>
  <c r="AB162" i="11"/>
  <c r="T81" i="10"/>
  <c r="Y81" i="10" s="1"/>
  <c r="M81" i="10"/>
  <c r="U81" i="10" s="1"/>
  <c r="Z81" i="10" s="1"/>
  <c r="S83" i="10"/>
  <c r="K83" i="10"/>
  <c r="V83" i="10" s="1"/>
  <c r="N83" i="10"/>
  <c r="P118" i="10"/>
  <c r="R118" i="10" s="1"/>
  <c r="Q118" i="10"/>
  <c r="L82" i="10"/>
  <c r="AG163" i="11" l="1"/>
  <c r="AH162" i="11"/>
  <c r="AB163" i="11"/>
  <c r="AC162" i="11"/>
  <c r="T82" i="10"/>
  <c r="Y82" i="10" s="1"/>
  <c r="M82" i="10"/>
  <c r="U82" i="10" s="1"/>
  <c r="Z82" i="10" s="1"/>
  <c r="L83" i="10"/>
  <c r="P119" i="10"/>
  <c r="R119" i="10" s="1"/>
  <c r="Q119" i="10"/>
  <c r="S84" i="10"/>
  <c r="K84" i="10"/>
  <c r="V84" i="10" s="1"/>
  <c r="N84" i="10"/>
  <c r="AG164" i="11" l="1"/>
  <c r="AH163" i="11"/>
  <c r="AB164" i="11"/>
  <c r="AC163" i="11"/>
  <c r="T83" i="10"/>
  <c r="Y83" i="10" s="1"/>
  <c r="M83" i="10"/>
  <c r="U83" i="10" s="1"/>
  <c r="Z83" i="10" s="1"/>
  <c r="L84" i="10"/>
  <c r="P120" i="10"/>
  <c r="R120" i="10" s="1"/>
  <c r="Q120" i="10"/>
  <c r="S85" i="10"/>
  <c r="K85" i="10"/>
  <c r="V85" i="10" s="1"/>
  <c r="N85" i="10"/>
  <c r="AG165" i="11" l="1"/>
  <c r="AH164" i="11"/>
  <c r="AB165" i="11"/>
  <c r="AC164" i="11"/>
  <c r="T84" i="10"/>
  <c r="Y84" i="10" s="1"/>
  <c r="M84" i="10"/>
  <c r="U84" i="10" s="1"/>
  <c r="Z84" i="10" s="1"/>
  <c r="L85" i="10"/>
  <c r="P121" i="10"/>
  <c r="R121" i="10" s="1"/>
  <c r="Q121" i="10"/>
  <c r="S86" i="10"/>
  <c r="N86" i="10"/>
  <c r="K86" i="10"/>
  <c r="V86" i="10" s="1"/>
  <c r="AG166" i="11" l="1"/>
  <c r="AH165" i="11"/>
  <c r="AB166" i="11"/>
  <c r="AC165" i="11"/>
  <c r="T85" i="10"/>
  <c r="Y85" i="10" s="1"/>
  <c r="M85" i="10"/>
  <c r="U85" i="10" s="1"/>
  <c r="Z85" i="10" s="1"/>
  <c r="K87" i="10"/>
  <c r="V87" i="10" s="1"/>
  <c r="S87" i="10"/>
  <c r="N87" i="10"/>
  <c r="Q122" i="10"/>
  <c r="P122" i="10"/>
  <c r="R122" i="10" s="1"/>
  <c r="L86" i="10"/>
  <c r="AG167" i="11" l="1"/>
  <c r="AH166" i="11"/>
  <c r="AB167" i="11"/>
  <c r="AC166" i="11"/>
  <c r="T86" i="10"/>
  <c r="Y86" i="10" s="1"/>
  <c r="M86" i="10"/>
  <c r="U86" i="10" s="1"/>
  <c r="Z86" i="10" s="1"/>
  <c r="P123" i="10"/>
  <c r="R123" i="10" s="1"/>
  <c r="Q123" i="10"/>
  <c r="S88" i="10"/>
  <c r="N88" i="10"/>
  <c r="K88" i="10"/>
  <c r="V88" i="10" s="1"/>
  <c r="L87" i="10"/>
  <c r="AG168" i="11" l="1"/>
  <c r="AH167" i="11"/>
  <c r="AB168" i="11"/>
  <c r="AC167" i="11"/>
  <c r="T87" i="10"/>
  <c r="Y87" i="10" s="1"/>
  <c r="M87" i="10"/>
  <c r="U87" i="10" s="1"/>
  <c r="Z87" i="10" s="1"/>
  <c r="L88" i="10"/>
  <c r="Q124" i="10"/>
  <c r="P124" i="10"/>
  <c r="R124" i="10" s="1"/>
  <c r="S89" i="10"/>
  <c r="K89" i="10"/>
  <c r="V89" i="10" s="1"/>
  <c r="N89" i="10"/>
  <c r="AG169" i="11" l="1"/>
  <c r="AH168" i="11"/>
  <c r="AB169" i="11"/>
  <c r="AC168" i="11"/>
  <c r="T88" i="10"/>
  <c r="Y88" i="10" s="1"/>
  <c r="M88" i="10"/>
  <c r="U88" i="10" s="1"/>
  <c r="Z88" i="10" s="1"/>
  <c r="S90" i="10"/>
  <c r="K90" i="10"/>
  <c r="V90" i="10" s="1"/>
  <c r="N90" i="10"/>
  <c r="L89" i="10"/>
  <c r="Q125" i="10"/>
  <c r="P125" i="10"/>
  <c r="R125" i="10" s="1"/>
  <c r="AG170" i="11" l="1"/>
  <c r="AH169" i="11"/>
  <c r="AB170" i="11"/>
  <c r="AC169" i="11"/>
  <c r="T89" i="10"/>
  <c r="Y89" i="10" s="1"/>
  <c r="M89" i="10"/>
  <c r="U89" i="10" s="1"/>
  <c r="Z89" i="10" s="1"/>
  <c r="P126" i="10"/>
  <c r="R126" i="10" s="1"/>
  <c r="Q126" i="10"/>
  <c r="L90" i="10"/>
  <c r="S91" i="10"/>
  <c r="K91" i="10"/>
  <c r="V91" i="10" s="1"/>
  <c r="N91" i="10"/>
  <c r="AG171" i="11" l="1"/>
  <c r="AH170" i="11"/>
  <c r="AB171" i="11"/>
  <c r="AC170" i="11"/>
  <c r="T90" i="10"/>
  <c r="Y90" i="10" s="1"/>
  <c r="M90" i="10"/>
  <c r="U90" i="10" s="1"/>
  <c r="Z90" i="10" s="1"/>
  <c r="K92" i="10"/>
  <c r="V92" i="10" s="1"/>
  <c r="S92" i="10"/>
  <c r="N92" i="10"/>
  <c r="P127" i="10"/>
  <c r="R127" i="10" s="1"/>
  <c r="Q127" i="10"/>
  <c r="L91" i="10"/>
  <c r="AG172" i="11" l="1"/>
  <c r="AH171" i="11"/>
  <c r="AB172" i="11"/>
  <c r="AC171" i="11"/>
  <c r="T91" i="10"/>
  <c r="Y91" i="10" s="1"/>
  <c r="M91" i="10"/>
  <c r="U91" i="10" s="1"/>
  <c r="Z91" i="10" s="1"/>
  <c r="Q128" i="10"/>
  <c r="P128" i="10"/>
  <c r="R128" i="10" s="1"/>
  <c r="S93" i="10"/>
  <c r="N93" i="10"/>
  <c r="K93" i="10"/>
  <c r="V93" i="10" s="1"/>
  <c r="L92" i="10"/>
  <c r="AG173" i="11" l="1"/>
  <c r="AH172" i="11"/>
  <c r="AB173" i="11"/>
  <c r="AC172" i="11"/>
  <c r="T92" i="10"/>
  <c r="Y92" i="10" s="1"/>
  <c r="M92" i="10"/>
  <c r="U92" i="10" s="1"/>
  <c r="Z92" i="10" s="1"/>
  <c r="L93" i="10"/>
  <c r="Q129" i="10"/>
  <c r="P129" i="10"/>
  <c r="R129" i="10" s="1"/>
  <c r="S94" i="10"/>
  <c r="N94" i="10"/>
  <c r="K94" i="10"/>
  <c r="V94" i="10" s="1"/>
  <c r="AG174" i="11" l="1"/>
  <c r="AH173" i="11"/>
  <c r="AB174" i="11"/>
  <c r="AC173" i="11"/>
  <c r="T93" i="10"/>
  <c r="M93" i="10"/>
  <c r="U93" i="10" s="1"/>
  <c r="Z93" i="10" s="1"/>
  <c r="Y93" i="10"/>
  <c r="S95" i="10"/>
  <c r="N95" i="10"/>
  <c r="K95" i="10"/>
  <c r="V95" i="10" s="1"/>
  <c r="L94" i="10"/>
  <c r="P130" i="10"/>
  <c r="R130" i="10" s="1"/>
  <c r="Q130" i="10"/>
  <c r="AG175" i="11" l="1"/>
  <c r="AH174" i="11"/>
  <c r="AC174" i="11"/>
  <c r="AB175" i="11"/>
  <c r="T94" i="10"/>
  <c r="Y94" i="10" s="1"/>
  <c r="M94" i="10"/>
  <c r="U94" i="10" s="1"/>
  <c r="Z94" i="10" s="1"/>
  <c r="S96" i="10"/>
  <c r="K96" i="10"/>
  <c r="V96" i="10" s="1"/>
  <c r="N96" i="10"/>
  <c r="Q131" i="10"/>
  <c r="P131" i="10"/>
  <c r="R131" i="10" s="1"/>
  <c r="L95" i="10"/>
  <c r="AG176" i="11" l="1"/>
  <c r="AH175" i="11"/>
  <c r="AB176" i="11"/>
  <c r="AC175" i="11"/>
  <c r="T95" i="10"/>
  <c r="Y95" i="10" s="1"/>
  <c r="M95" i="10"/>
  <c r="U95" i="10" s="1"/>
  <c r="Z95" i="10" s="1"/>
  <c r="P132" i="10"/>
  <c r="R132" i="10" s="1"/>
  <c r="Q132" i="10"/>
  <c r="L96" i="10"/>
  <c r="S97" i="10"/>
  <c r="N97" i="10"/>
  <c r="K97" i="10"/>
  <c r="V97" i="10" s="1"/>
  <c r="AH176" i="11" l="1"/>
  <c r="AG177" i="11"/>
  <c r="AB177" i="11"/>
  <c r="AC176" i="11"/>
  <c r="T96" i="10"/>
  <c r="Y96" i="10" s="1"/>
  <c r="M96" i="10"/>
  <c r="U96" i="10" s="1"/>
  <c r="Z96" i="10" s="1"/>
  <c r="S98" i="10"/>
  <c r="K98" i="10"/>
  <c r="V98" i="10" s="1"/>
  <c r="N98" i="10"/>
  <c r="P133" i="10"/>
  <c r="R133" i="10" s="1"/>
  <c r="Q133" i="10"/>
  <c r="L97" i="10"/>
  <c r="AG178" i="11" l="1"/>
  <c r="AH177" i="11"/>
  <c r="AC177" i="11"/>
  <c r="AB178" i="11"/>
  <c r="T97" i="10"/>
  <c r="Y97" i="10" s="1"/>
  <c r="M97" i="10"/>
  <c r="U97" i="10" s="1"/>
  <c r="Z97" i="10" s="1"/>
  <c r="L98" i="10"/>
  <c r="P134" i="10"/>
  <c r="R134" i="10" s="1"/>
  <c r="Q134" i="10"/>
  <c r="S99" i="10"/>
  <c r="K99" i="10"/>
  <c r="V99" i="10" s="1"/>
  <c r="N99" i="10"/>
  <c r="AG179" i="11" l="1"/>
  <c r="AH178" i="11"/>
  <c r="AB179" i="11"/>
  <c r="AC178" i="11"/>
  <c r="T98" i="10"/>
  <c r="Y98" i="10" s="1"/>
  <c r="M98" i="10"/>
  <c r="U98" i="10" s="1"/>
  <c r="Z98" i="10" s="1"/>
  <c r="K100" i="10"/>
  <c r="V100" i="10" s="1"/>
  <c r="S100" i="10"/>
  <c r="N100" i="10"/>
  <c r="L99" i="10"/>
  <c r="P135" i="10"/>
  <c r="R135" i="10" s="1"/>
  <c r="Q135" i="10"/>
  <c r="AG180" i="11" l="1"/>
  <c r="AH179" i="11"/>
  <c r="AB180" i="11"/>
  <c r="AC179" i="11"/>
  <c r="T99" i="10"/>
  <c r="M99" i="10"/>
  <c r="U99" i="10" s="1"/>
  <c r="Z99" i="10" s="1"/>
  <c r="P136" i="10"/>
  <c r="R136" i="10" s="1"/>
  <c r="Q136" i="10"/>
  <c r="Y99" i="10"/>
  <c r="S101" i="10"/>
  <c r="K101" i="10"/>
  <c r="V101" i="10" s="1"/>
  <c r="N101" i="10"/>
  <c r="L100" i="10"/>
  <c r="AG181" i="11" l="1"/>
  <c r="AH180" i="11"/>
  <c r="AB181" i="11"/>
  <c r="AC180" i="11"/>
  <c r="T100" i="10"/>
  <c r="Y100" i="10" s="1"/>
  <c r="M100" i="10"/>
  <c r="U100" i="10" s="1"/>
  <c r="Z100" i="10" s="1"/>
  <c r="S102" i="10"/>
  <c r="N102" i="10"/>
  <c r="K102" i="10"/>
  <c r="V102" i="10" s="1"/>
  <c r="P137" i="10"/>
  <c r="R137" i="10" s="1"/>
  <c r="Q137" i="10"/>
  <c r="L101" i="10"/>
  <c r="AG182" i="11" l="1"/>
  <c r="AH181" i="11"/>
  <c r="AB182" i="11"/>
  <c r="AC181" i="11"/>
  <c r="T101" i="10"/>
  <c r="Y101" i="10" s="1"/>
  <c r="M101" i="10"/>
  <c r="U101" i="10" s="1"/>
  <c r="Z101" i="10" s="1"/>
  <c r="S103" i="10"/>
  <c r="K103" i="10"/>
  <c r="V103" i="10" s="1"/>
  <c r="N103" i="10"/>
  <c r="Q138" i="10"/>
  <c r="P138" i="10"/>
  <c r="R138" i="10" s="1"/>
  <c r="L102" i="10"/>
  <c r="AH182" i="11" l="1"/>
  <c r="AG183" i="11"/>
  <c r="AB183" i="11"/>
  <c r="AC182" i="11"/>
  <c r="T102" i="10"/>
  <c r="Y102" i="10" s="1"/>
  <c r="M102" i="10"/>
  <c r="U102" i="10" s="1"/>
  <c r="Z102" i="10" s="1"/>
  <c r="L103" i="10"/>
  <c r="P139" i="10"/>
  <c r="R139" i="10" s="1"/>
  <c r="Q139" i="10"/>
  <c r="N104" i="10"/>
  <c r="S104" i="10"/>
  <c r="K104" i="10"/>
  <c r="V104" i="10" s="1"/>
  <c r="AG184" i="11" l="1"/>
  <c r="AH183" i="11"/>
  <c r="AB184" i="11"/>
  <c r="AC183" i="11"/>
  <c r="T103" i="10"/>
  <c r="Y103" i="10" s="1"/>
  <c r="M103" i="10"/>
  <c r="U103" i="10" s="1"/>
  <c r="Z103" i="10" s="1"/>
  <c r="Q140" i="10"/>
  <c r="P140" i="10"/>
  <c r="R140" i="10" s="1"/>
  <c r="L104" i="10"/>
  <c r="S105" i="10"/>
  <c r="K105" i="10"/>
  <c r="V105" i="10" s="1"/>
  <c r="N105" i="10"/>
  <c r="AG185" i="11" l="1"/>
  <c r="AH184" i="11"/>
  <c r="AB185" i="11"/>
  <c r="AC184" i="11"/>
  <c r="T104" i="10"/>
  <c r="Y104" i="10" s="1"/>
  <c r="M104" i="10"/>
  <c r="U104" i="10" s="1"/>
  <c r="Z104" i="10" s="1"/>
  <c r="L105" i="10"/>
  <c r="S106" i="10"/>
  <c r="N106" i="10"/>
  <c r="K106" i="10"/>
  <c r="V106" i="10" s="1"/>
  <c r="Q141" i="10"/>
  <c r="P141" i="10"/>
  <c r="R141" i="10" s="1"/>
  <c r="AG186" i="11" l="1"/>
  <c r="AH185" i="11"/>
  <c r="AB186" i="11"/>
  <c r="AC185" i="11"/>
  <c r="T105" i="10"/>
  <c r="Y105" i="10" s="1"/>
  <c r="M105" i="10"/>
  <c r="U105" i="10" s="1"/>
  <c r="Z105" i="10" s="1"/>
  <c r="Q142" i="10"/>
  <c r="P142" i="10"/>
  <c r="R142" i="10" s="1"/>
  <c r="S107" i="10"/>
  <c r="K107" i="10"/>
  <c r="V107" i="10" s="1"/>
  <c r="N107" i="10"/>
  <c r="L106" i="10"/>
  <c r="AG187" i="11" l="1"/>
  <c r="AH186" i="11"/>
  <c r="AC186" i="11"/>
  <c r="AB187" i="11"/>
  <c r="T106" i="10"/>
  <c r="Y106" i="10" s="1"/>
  <c r="M106" i="10"/>
  <c r="U106" i="10" s="1"/>
  <c r="Z106" i="10" s="1"/>
  <c r="L107" i="10"/>
  <c r="S108" i="10"/>
  <c r="N108" i="10"/>
  <c r="K108" i="10"/>
  <c r="V108" i="10" s="1"/>
  <c r="Q143" i="10"/>
  <c r="P143" i="10"/>
  <c r="R143" i="10" s="1"/>
  <c r="AG188" i="11" l="1"/>
  <c r="AH187" i="11"/>
  <c r="AB188" i="11"/>
  <c r="AC187" i="11"/>
  <c r="T107" i="10"/>
  <c r="Y107" i="10" s="1"/>
  <c r="M107" i="10"/>
  <c r="U107" i="10" s="1"/>
  <c r="Z107" i="10" s="1"/>
  <c r="L108" i="10"/>
  <c r="Q144" i="10"/>
  <c r="P144" i="10"/>
  <c r="R144" i="10" s="1"/>
  <c r="N109" i="10"/>
  <c r="S109" i="10"/>
  <c r="K109" i="10"/>
  <c r="V109" i="10" s="1"/>
  <c r="AH188" i="11" l="1"/>
  <c r="AG189" i="11"/>
  <c r="AB189" i="11"/>
  <c r="AC188" i="11"/>
  <c r="T108" i="10"/>
  <c r="Y108" i="10" s="1"/>
  <c r="M108" i="10"/>
  <c r="U108" i="10" s="1"/>
  <c r="Z108" i="10" s="1"/>
  <c r="L109" i="10"/>
  <c r="S110" i="10"/>
  <c r="N110" i="10"/>
  <c r="K110" i="10"/>
  <c r="V110" i="10" s="1"/>
  <c r="Q145" i="10"/>
  <c r="P145" i="10"/>
  <c r="R145" i="10" s="1"/>
  <c r="AG190" i="11" l="1"/>
  <c r="AH189" i="11"/>
  <c r="AB190" i="11"/>
  <c r="AC189" i="11"/>
  <c r="T109" i="10"/>
  <c r="Y109" i="10" s="1"/>
  <c r="M109" i="10"/>
  <c r="U109" i="10" s="1"/>
  <c r="Z109" i="10" s="1"/>
  <c r="P146" i="10"/>
  <c r="R146" i="10" s="1"/>
  <c r="Q146" i="10"/>
  <c r="S111" i="10"/>
  <c r="N111" i="10"/>
  <c r="K111" i="10"/>
  <c r="V111" i="10" s="1"/>
  <c r="L110" i="10"/>
  <c r="AG191" i="11" l="1"/>
  <c r="AH190" i="11"/>
  <c r="AB191" i="11"/>
  <c r="AC190" i="11"/>
  <c r="T110" i="10"/>
  <c r="Y110" i="10" s="1"/>
  <c r="M110" i="10"/>
  <c r="U110" i="10" s="1"/>
  <c r="Z110" i="10" s="1"/>
  <c r="S112" i="10"/>
  <c r="K112" i="10"/>
  <c r="V112" i="10" s="1"/>
  <c r="N112" i="10"/>
  <c r="Q147" i="10"/>
  <c r="P147" i="10"/>
  <c r="R147" i="10" s="1"/>
  <c r="L111" i="10"/>
  <c r="AG192" i="11" l="1"/>
  <c r="AH191" i="11"/>
  <c r="AB192" i="11"/>
  <c r="AC191" i="11"/>
  <c r="T111" i="10"/>
  <c r="Y111" i="10" s="1"/>
  <c r="M111" i="10"/>
  <c r="U111" i="10" s="1"/>
  <c r="Z111" i="10" s="1"/>
  <c r="P148" i="10"/>
  <c r="R148" i="10" s="1"/>
  <c r="Q148" i="10"/>
  <c r="L112" i="10"/>
  <c r="N113" i="10"/>
  <c r="S113" i="10"/>
  <c r="K113" i="10"/>
  <c r="V113" i="10" s="1"/>
  <c r="AH192" i="11" l="1"/>
  <c r="AG193" i="11"/>
  <c r="AB193" i="11"/>
  <c r="AC192" i="11"/>
  <c r="T112" i="10"/>
  <c r="Y112" i="10" s="1"/>
  <c r="M112" i="10"/>
  <c r="U112" i="10" s="1"/>
  <c r="Z112" i="10" s="1"/>
  <c r="L113" i="10"/>
  <c r="S114" i="10"/>
  <c r="K114" i="10"/>
  <c r="V114" i="10" s="1"/>
  <c r="N114" i="10"/>
  <c r="P149" i="10"/>
  <c r="R149" i="10" s="1"/>
  <c r="Q149" i="10"/>
  <c r="AG194" i="11" l="1"/>
  <c r="AH193" i="11"/>
  <c r="AB194" i="11"/>
  <c r="AC193" i="11"/>
  <c r="T113" i="10"/>
  <c r="Y113" i="10" s="1"/>
  <c r="M113" i="10"/>
  <c r="U113" i="10" s="1"/>
  <c r="Z113" i="10" s="1"/>
  <c r="L114" i="10"/>
  <c r="P150" i="10"/>
  <c r="R150" i="10" s="1"/>
  <c r="Q150" i="10"/>
  <c r="S115" i="10"/>
  <c r="N115" i="10"/>
  <c r="K115" i="10"/>
  <c r="V115" i="10" s="1"/>
  <c r="AH194" i="11" l="1"/>
  <c r="AG195" i="11"/>
  <c r="AB195" i="11"/>
  <c r="AC194" i="11"/>
  <c r="T114" i="10"/>
  <c r="Y114" i="10" s="1"/>
  <c r="M114" i="10"/>
  <c r="U114" i="10" s="1"/>
  <c r="Z114" i="10" s="1"/>
  <c r="S116" i="10"/>
  <c r="K116" i="10"/>
  <c r="V116" i="10" s="1"/>
  <c r="N116" i="10"/>
  <c r="Q151" i="10"/>
  <c r="P151" i="10"/>
  <c r="R151" i="10" s="1"/>
  <c r="L115" i="10"/>
  <c r="AG196" i="11" l="1"/>
  <c r="AH195" i="11"/>
  <c r="AB196" i="11"/>
  <c r="AC195" i="11"/>
  <c r="T115" i="10"/>
  <c r="Y115" i="10" s="1"/>
  <c r="M115" i="10"/>
  <c r="U115" i="10" s="1"/>
  <c r="Z115" i="10" s="1"/>
  <c r="P152" i="10"/>
  <c r="R152" i="10" s="1"/>
  <c r="Q152" i="10"/>
  <c r="L116" i="10"/>
  <c r="S117" i="10"/>
  <c r="K117" i="10"/>
  <c r="V117" i="10" s="1"/>
  <c r="N117" i="10"/>
  <c r="AH196" i="11" l="1"/>
  <c r="AG197" i="11"/>
  <c r="AB197" i="11"/>
  <c r="AC196" i="11"/>
  <c r="T116" i="10"/>
  <c r="Y116" i="10" s="1"/>
  <c r="M116" i="10"/>
  <c r="U116" i="10" s="1"/>
  <c r="Z116" i="10" s="1"/>
  <c r="S118" i="10"/>
  <c r="N118" i="10"/>
  <c r="K118" i="10"/>
  <c r="V118" i="10" s="1"/>
  <c r="P153" i="10"/>
  <c r="R153" i="10" s="1"/>
  <c r="Q153" i="10"/>
  <c r="L117" i="10"/>
  <c r="AG198" i="11" l="1"/>
  <c r="AH197" i="11"/>
  <c r="AB198" i="11"/>
  <c r="AC197" i="11"/>
  <c r="T117" i="10"/>
  <c r="Y117" i="10" s="1"/>
  <c r="M117" i="10"/>
  <c r="U117" i="10" s="1"/>
  <c r="Z117" i="10" s="1"/>
  <c r="K119" i="10"/>
  <c r="V119" i="10" s="1"/>
  <c r="S119" i="10"/>
  <c r="N119" i="10"/>
  <c r="Q154" i="10"/>
  <c r="P154" i="10"/>
  <c r="R154" i="10" s="1"/>
  <c r="L118" i="10"/>
  <c r="AG199" i="11" l="1"/>
  <c r="AH198" i="11"/>
  <c r="AB199" i="11"/>
  <c r="AC198" i="11"/>
  <c r="T118" i="10"/>
  <c r="Y118" i="10" s="1"/>
  <c r="M118" i="10"/>
  <c r="U118" i="10" s="1"/>
  <c r="Z118" i="10" s="1"/>
  <c r="P155" i="10"/>
  <c r="R155" i="10" s="1"/>
  <c r="Q155" i="10"/>
  <c r="S120" i="10"/>
  <c r="N120" i="10"/>
  <c r="K120" i="10"/>
  <c r="V120" i="10" s="1"/>
  <c r="L119" i="10"/>
  <c r="AG200" i="11" l="1"/>
  <c r="AH199" i="11"/>
  <c r="AC199" i="11"/>
  <c r="AB200" i="11"/>
  <c r="T119" i="10"/>
  <c r="Y119" i="10" s="1"/>
  <c r="M119" i="10"/>
  <c r="U119" i="10" s="1"/>
  <c r="Z119" i="10" s="1"/>
  <c r="L120" i="10"/>
  <c r="S121" i="10"/>
  <c r="K121" i="10"/>
  <c r="V121" i="10" s="1"/>
  <c r="N121" i="10"/>
  <c r="Q156" i="10"/>
  <c r="P156" i="10"/>
  <c r="R156" i="10" s="1"/>
  <c r="AH200" i="11" l="1"/>
  <c r="AG201" i="11"/>
  <c r="AB201" i="11"/>
  <c r="AC200" i="11"/>
  <c r="T120" i="10"/>
  <c r="Y120" i="10" s="1"/>
  <c r="M120" i="10"/>
  <c r="U120" i="10" s="1"/>
  <c r="Z120" i="10" s="1"/>
  <c r="Q157" i="10"/>
  <c r="P157" i="10"/>
  <c r="R157" i="10" s="1"/>
  <c r="L121" i="10"/>
  <c r="N122" i="10"/>
  <c r="K122" i="10"/>
  <c r="V122" i="10" s="1"/>
  <c r="S122" i="10"/>
  <c r="AG202" i="11" l="1"/>
  <c r="AH201" i="11"/>
  <c r="AB202" i="11"/>
  <c r="AC201" i="11"/>
  <c r="T121" i="10"/>
  <c r="Y121" i="10" s="1"/>
  <c r="M121" i="10"/>
  <c r="U121" i="10" s="1"/>
  <c r="Z121" i="10" s="1"/>
  <c r="L122" i="10"/>
  <c r="S123" i="10"/>
  <c r="N123" i="10"/>
  <c r="K123" i="10"/>
  <c r="V123" i="10" s="1"/>
  <c r="P158" i="10"/>
  <c r="R158" i="10" s="1"/>
  <c r="Q158" i="10"/>
  <c r="AG203" i="11" l="1"/>
  <c r="AH202" i="11"/>
  <c r="AB203" i="11"/>
  <c r="AC202" i="11"/>
  <c r="T122" i="10"/>
  <c r="Y122" i="10" s="1"/>
  <c r="M122" i="10"/>
  <c r="U122" i="10" s="1"/>
  <c r="Z122" i="10" s="1"/>
  <c r="N124" i="10"/>
  <c r="S124" i="10"/>
  <c r="K124" i="10"/>
  <c r="V124" i="10" s="1"/>
  <c r="P159" i="10"/>
  <c r="R159" i="10" s="1"/>
  <c r="Q159" i="10"/>
  <c r="L123" i="10"/>
  <c r="AG204" i="11" l="1"/>
  <c r="AH203" i="11"/>
  <c r="AB204" i="11"/>
  <c r="AC203" i="11"/>
  <c r="T123" i="10"/>
  <c r="Y123" i="10" s="1"/>
  <c r="M123" i="10"/>
  <c r="U123" i="10" s="1"/>
  <c r="Z123" i="10" s="1"/>
  <c r="Q160" i="10"/>
  <c r="P160" i="10"/>
  <c r="R160" i="10" s="1"/>
  <c r="L124" i="10"/>
  <c r="S125" i="10"/>
  <c r="K125" i="10"/>
  <c r="V125" i="10" s="1"/>
  <c r="N125" i="10"/>
  <c r="AG205" i="11" l="1"/>
  <c r="AH204" i="11"/>
  <c r="AB205" i="11"/>
  <c r="AC204" i="11"/>
  <c r="T124" i="10"/>
  <c r="M124" i="10"/>
  <c r="U124" i="10" s="1"/>
  <c r="Z124" i="10" s="1"/>
  <c r="S126" i="10"/>
  <c r="N126" i="10"/>
  <c r="K126" i="10"/>
  <c r="V126" i="10" s="1"/>
  <c r="Q161" i="10"/>
  <c r="P161" i="10"/>
  <c r="R161" i="10" s="1"/>
  <c r="L125" i="10"/>
  <c r="Y124" i="10"/>
  <c r="AG206" i="11" l="1"/>
  <c r="AH205" i="11"/>
  <c r="AB206" i="11"/>
  <c r="AC205" i="11"/>
  <c r="T125" i="10"/>
  <c r="Y125" i="10" s="1"/>
  <c r="M125" i="10"/>
  <c r="U125" i="10" s="1"/>
  <c r="Z125" i="10" s="1"/>
  <c r="P162" i="10"/>
  <c r="R162" i="10" s="1"/>
  <c r="Q162" i="10"/>
  <c r="S127" i="10"/>
  <c r="N127" i="10"/>
  <c r="K127" i="10"/>
  <c r="V127" i="10" s="1"/>
  <c r="L126" i="10"/>
  <c r="AH206" i="11" l="1"/>
  <c r="AG207" i="11"/>
  <c r="AB207" i="11"/>
  <c r="AC206" i="11"/>
  <c r="T126" i="10"/>
  <c r="Y126" i="10" s="1"/>
  <c r="M126" i="10"/>
  <c r="U126" i="10" s="1"/>
  <c r="Z126" i="10" s="1"/>
  <c r="S128" i="10"/>
  <c r="K128" i="10"/>
  <c r="V128" i="10" s="1"/>
  <c r="N128" i="10"/>
  <c r="Q163" i="10"/>
  <c r="P163" i="10"/>
  <c r="R163" i="10" s="1"/>
  <c r="L127" i="10"/>
  <c r="AH207" i="11" l="1"/>
  <c r="AG208" i="11"/>
  <c r="AC207" i="11"/>
  <c r="AB208" i="11"/>
  <c r="T127" i="10"/>
  <c r="Y127" i="10" s="1"/>
  <c r="M127" i="10"/>
  <c r="U127" i="10" s="1"/>
  <c r="Z127" i="10" s="1"/>
  <c r="P164" i="10"/>
  <c r="R164" i="10" s="1"/>
  <c r="Q164" i="10"/>
  <c r="L128" i="10"/>
  <c r="S129" i="10"/>
  <c r="K129" i="10"/>
  <c r="V129" i="10" s="1"/>
  <c r="N129" i="10"/>
  <c r="AG209" i="11" l="1"/>
  <c r="AH208" i="11"/>
  <c r="AB209" i="11"/>
  <c r="AC208" i="11"/>
  <c r="T128" i="10"/>
  <c r="Y128" i="10" s="1"/>
  <c r="M128" i="10"/>
  <c r="U128" i="10" s="1"/>
  <c r="Z128" i="10" s="1"/>
  <c r="S130" i="10"/>
  <c r="N130" i="10"/>
  <c r="K130" i="10"/>
  <c r="V130" i="10" s="1"/>
  <c r="P165" i="10"/>
  <c r="R165" i="10" s="1"/>
  <c r="Q165" i="10"/>
  <c r="L129" i="10"/>
  <c r="AG210" i="11" l="1"/>
  <c r="AH209" i="11"/>
  <c r="AB210" i="11"/>
  <c r="AC209" i="11"/>
  <c r="T129" i="10"/>
  <c r="Y129" i="10" s="1"/>
  <c r="M129" i="10"/>
  <c r="U129" i="10" s="1"/>
  <c r="Z129" i="10" s="1"/>
  <c r="N131" i="10"/>
  <c r="S131" i="10"/>
  <c r="K131" i="10"/>
  <c r="V131" i="10" s="1"/>
  <c r="P166" i="10"/>
  <c r="R166" i="10" s="1"/>
  <c r="Q166" i="10"/>
  <c r="L130" i="10"/>
  <c r="AG211" i="11" l="1"/>
  <c r="AH210" i="11"/>
  <c r="AC210" i="11"/>
  <c r="AB211" i="11"/>
  <c r="T130" i="10"/>
  <c r="Y130" i="10" s="1"/>
  <c r="M130" i="10"/>
  <c r="U130" i="10" s="1"/>
  <c r="Z130" i="10" s="1"/>
  <c r="P167" i="10"/>
  <c r="R167" i="10" s="1"/>
  <c r="Q167" i="10"/>
  <c r="L131" i="10"/>
  <c r="S132" i="10"/>
  <c r="K132" i="10"/>
  <c r="V132" i="10" s="1"/>
  <c r="N132" i="10"/>
  <c r="AG212" i="11" l="1"/>
  <c r="AH211" i="11"/>
  <c r="AB212" i="11"/>
  <c r="AC211" i="11"/>
  <c r="T131" i="10"/>
  <c r="Y131" i="10" s="1"/>
  <c r="M131" i="10"/>
  <c r="U131" i="10" s="1"/>
  <c r="Z131" i="10" s="1"/>
  <c r="L132" i="10"/>
  <c r="P168" i="10"/>
  <c r="R168" i="10" s="1"/>
  <c r="Q168" i="10"/>
  <c r="S133" i="10"/>
  <c r="N133" i="10"/>
  <c r="K133" i="10"/>
  <c r="V133" i="10" s="1"/>
  <c r="AH212" i="11" l="1"/>
  <c r="AG213" i="11"/>
  <c r="AB213" i="11"/>
  <c r="AC212" i="11"/>
  <c r="T132" i="10"/>
  <c r="Y132" i="10" s="1"/>
  <c r="M132" i="10"/>
  <c r="U132" i="10" s="1"/>
  <c r="Z132" i="10" s="1"/>
  <c r="S134" i="10"/>
  <c r="N134" i="10"/>
  <c r="K134" i="10"/>
  <c r="V134" i="10" s="1"/>
  <c r="P169" i="10"/>
  <c r="R169" i="10" s="1"/>
  <c r="Q169" i="10"/>
  <c r="L133" i="10"/>
  <c r="AG214" i="11" l="1"/>
  <c r="AH213" i="11"/>
  <c r="AB214" i="11"/>
  <c r="AC213" i="11"/>
  <c r="T133" i="10"/>
  <c r="Y133" i="10" s="1"/>
  <c r="M133" i="10"/>
  <c r="U133" i="10" s="1"/>
  <c r="Z133" i="10" s="1"/>
  <c r="S135" i="10"/>
  <c r="N135" i="10"/>
  <c r="K135" i="10"/>
  <c r="V135" i="10" s="1"/>
  <c r="Q170" i="10"/>
  <c r="P170" i="10"/>
  <c r="R170" i="10" s="1"/>
  <c r="L134" i="10"/>
  <c r="AG215" i="11" l="1"/>
  <c r="AH214" i="11"/>
  <c r="AB215" i="11"/>
  <c r="AC214" i="11"/>
  <c r="T134" i="10"/>
  <c r="Y134" i="10" s="1"/>
  <c r="M134" i="10"/>
  <c r="U134" i="10" s="1"/>
  <c r="Z134" i="10" s="1"/>
  <c r="S136" i="10"/>
  <c r="K136" i="10"/>
  <c r="V136" i="10" s="1"/>
  <c r="N136" i="10"/>
  <c r="P171" i="10"/>
  <c r="R171" i="10" s="1"/>
  <c r="Q171" i="10"/>
  <c r="L135" i="10"/>
  <c r="AG216" i="11" l="1"/>
  <c r="AH215" i="11"/>
  <c r="AC215" i="11"/>
  <c r="AB216" i="11"/>
  <c r="T135" i="10"/>
  <c r="Y135" i="10" s="1"/>
  <c r="M135" i="10"/>
  <c r="U135" i="10" s="1"/>
  <c r="Z135" i="10" s="1"/>
  <c r="L136" i="10"/>
  <c r="Q172" i="10"/>
  <c r="P172" i="10"/>
  <c r="R172" i="10" s="1"/>
  <c r="S137" i="10"/>
  <c r="K137" i="10"/>
  <c r="V137" i="10" s="1"/>
  <c r="N137" i="10"/>
  <c r="AG217" i="11" l="1"/>
  <c r="AH216" i="11"/>
  <c r="AB217" i="11"/>
  <c r="AC216" i="11"/>
  <c r="T136" i="10"/>
  <c r="Y136" i="10" s="1"/>
  <c r="M136" i="10"/>
  <c r="U136" i="10" s="1"/>
  <c r="Z136" i="10" s="1"/>
  <c r="S138" i="10"/>
  <c r="N138" i="10"/>
  <c r="K138" i="10"/>
  <c r="V138" i="10" s="1"/>
  <c r="Q173" i="10"/>
  <c r="P173" i="10"/>
  <c r="R173" i="10" s="1"/>
  <c r="L137" i="10"/>
  <c r="AG218" i="11" l="1"/>
  <c r="AH217" i="11"/>
  <c r="AB218" i="11"/>
  <c r="AC217" i="11"/>
  <c r="T137" i="10"/>
  <c r="Y137" i="10" s="1"/>
  <c r="M137" i="10"/>
  <c r="U137" i="10" s="1"/>
  <c r="Z137" i="10" s="1"/>
  <c r="Q174" i="10"/>
  <c r="P174" i="10"/>
  <c r="R174" i="10" s="1"/>
  <c r="S139" i="10"/>
  <c r="N139" i="10"/>
  <c r="K139" i="10"/>
  <c r="V139" i="10" s="1"/>
  <c r="L138" i="10"/>
  <c r="AG219" i="11" l="1"/>
  <c r="AH218" i="11"/>
  <c r="AB219" i="11"/>
  <c r="AC218" i="11"/>
  <c r="T138" i="10"/>
  <c r="Y138" i="10" s="1"/>
  <c r="M138" i="10"/>
  <c r="U138" i="10" s="1"/>
  <c r="Z138" i="10" s="1"/>
  <c r="S140" i="10"/>
  <c r="N140" i="10"/>
  <c r="K140" i="10"/>
  <c r="V140" i="10" s="1"/>
  <c r="L139" i="10"/>
  <c r="Q175" i="10"/>
  <c r="P175" i="10"/>
  <c r="R175" i="10" s="1"/>
  <c r="AG220" i="11" l="1"/>
  <c r="AH219" i="11"/>
  <c r="AB220" i="11"/>
  <c r="AC219" i="11"/>
  <c r="T139" i="10"/>
  <c r="Y139" i="10" s="1"/>
  <c r="M139" i="10"/>
  <c r="U139" i="10" s="1"/>
  <c r="Z139" i="10" s="1"/>
  <c r="Q176" i="10"/>
  <c r="P176" i="10"/>
  <c r="R176" i="10" s="1"/>
  <c r="K141" i="10"/>
  <c r="V141" i="10" s="1"/>
  <c r="S141" i="10"/>
  <c r="N141" i="10"/>
  <c r="L140" i="10"/>
  <c r="AG221" i="11" l="1"/>
  <c r="AH220" i="11"/>
  <c r="AB221" i="11"/>
  <c r="AC220" i="11"/>
  <c r="T140" i="10"/>
  <c r="Y140" i="10" s="1"/>
  <c r="M140" i="10"/>
  <c r="U140" i="10" s="1"/>
  <c r="Z140" i="10" s="1"/>
  <c r="S142" i="10"/>
  <c r="N142" i="10"/>
  <c r="K142" i="10"/>
  <c r="V142" i="10" s="1"/>
  <c r="L141" i="10"/>
  <c r="Q177" i="10"/>
  <c r="P177" i="10"/>
  <c r="R177" i="10" s="1"/>
  <c r="AG222" i="11" l="1"/>
  <c r="AH221" i="11"/>
  <c r="AB222" i="11"/>
  <c r="AC221" i="11"/>
  <c r="T141" i="10"/>
  <c r="Y141" i="10" s="1"/>
  <c r="M141" i="10"/>
  <c r="U141" i="10" s="1"/>
  <c r="Z141" i="10" s="1"/>
  <c r="P178" i="10"/>
  <c r="R178" i="10" s="1"/>
  <c r="Q178" i="10"/>
  <c r="S143" i="10"/>
  <c r="N143" i="10"/>
  <c r="K143" i="10"/>
  <c r="V143" i="10" s="1"/>
  <c r="L142" i="10"/>
  <c r="AG223" i="11" l="1"/>
  <c r="AH222" i="11"/>
  <c r="AC222" i="11"/>
  <c r="AB223" i="11"/>
  <c r="T142" i="10"/>
  <c r="Y142" i="10" s="1"/>
  <c r="M142" i="10"/>
  <c r="U142" i="10" s="1"/>
  <c r="Z142" i="10" s="1"/>
  <c r="S144" i="10"/>
  <c r="K144" i="10"/>
  <c r="V144" i="10" s="1"/>
  <c r="N144" i="10"/>
  <c r="Q179" i="10"/>
  <c r="P179" i="10"/>
  <c r="R179" i="10" s="1"/>
  <c r="L143" i="10"/>
  <c r="AG224" i="11" l="1"/>
  <c r="AH223" i="11"/>
  <c r="AB224" i="11"/>
  <c r="AC223" i="11"/>
  <c r="T143" i="10"/>
  <c r="Y143" i="10" s="1"/>
  <c r="M143" i="10"/>
  <c r="U143" i="10" s="1"/>
  <c r="Z143" i="10" s="1"/>
  <c r="P180" i="10"/>
  <c r="R180" i="10" s="1"/>
  <c r="Q180" i="10"/>
  <c r="L144" i="10"/>
  <c r="N145" i="10"/>
  <c r="K145" i="10"/>
  <c r="V145" i="10" s="1"/>
  <c r="S145" i="10"/>
  <c r="AG225" i="11" l="1"/>
  <c r="AH224" i="11"/>
  <c r="AB225" i="11"/>
  <c r="AC224" i="11"/>
  <c r="T144" i="10"/>
  <c r="Y144" i="10" s="1"/>
  <c r="M144" i="10"/>
  <c r="U144" i="10" s="1"/>
  <c r="Z144" i="10" s="1"/>
  <c r="S146" i="10"/>
  <c r="N146" i="10"/>
  <c r="K146" i="10"/>
  <c r="V146" i="10" s="1"/>
  <c r="P181" i="10"/>
  <c r="R181" i="10" s="1"/>
  <c r="Q181" i="10"/>
  <c r="L145" i="10"/>
  <c r="AG226" i="11" l="1"/>
  <c r="AH225" i="11"/>
  <c r="AB226" i="11"/>
  <c r="AC225" i="11"/>
  <c r="T145" i="10"/>
  <c r="Y145" i="10" s="1"/>
  <c r="M145" i="10"/>
  <c r="U145" i="10" s="1"/>
  <c r="Z145" i="10" s="1"/>
  <c r="S147" i="10"/>
  <c r="N147" i="10"/>
  <c r="K147" i="10"/>
  <c r="V147" i="10" s="1"/>
  <c r="P182" i="10"/>
  <c r="R182" i="10" s="1"/>
  <c r="Q182" i="10"/>
  <c r="L146" i="10"/>
  <c r="AG227" i="11" l="1"/>
  <c r="AH226" i="11"/>
  <c r="AB227" i="11"/>
  <c r="AC226" i="11"/>
  <c r="T146" i="10"/>
  <c r="Y146" i="10" s="1"/>
  <c r="M146" i="10"/>
  <c r="U146" i="10" s="1"/>
  <c r="Z146" i="10" s="1"/>
  <c r="P183" i="10"/>
  <c r="R183" i="10" s="1"/>
  <c r="Q183" i="10"/>
  <c r="S148" i="10"/>
  <c r="K148" i="10"/>
  <c r="V148" i="10" s="1"/>
  <c r="N148" i="10"/>
  <c r="L147" i="10"/>
  <c r="AG228" i="11" l="1"/>
  <c r="AH227" i="11"/>
  <c r="AB228" i="11"/>
  <c r="AC227" i="11"/>
  <c r="T147" i="10"/>
  <c r="Y147" i="10" s="1"/>
  <c r="M147" i="10"/>
  <c r="U147" i="10" s="1"/>
  <c r="Z147" i="10" s="1"/>
  <c r="L148" i="10"/>
  <c r="P184" i="10"/>
  <c r="R184" i="10" s="1"/>
  <c r="Q184" i="10"/>
  <c r="S149" i="10"/>
  <c r="N149" i="10"/>
  <c r="K149" i="10"/>
  <c r="V149" i="10" s="1"/>
  <c r="AG229" i="11" l="1"/>
  <c r="AH228" i="11"/>
  <c r="AB229" i="11"/>
  <c r="AC228" i="11"/>
  <c r="T148" i="10"/>
  <c r="Y148" i="10" s="1"/>
  <c r="M148" i="10"/>
  <c r="U148" i="10" s="1"/>
  <c r="Z148" i="10" s="1"/>
  <c r="L149" i="10"/>
  <c r="P185" i="10"/>
  <c r="R185" i="10" s="1"/>
  <c r="Q185" i="10"/>
  <c r="S150" i="10"/>
  <c r="N150" i="10"/>
  <c r="K150" i="10"/>
  <c r="V150" i="10" s="1"/>
  <c r="AG230" i="11" l="1"/>
  <c r="AH229" i="11"/>
  <c r="AB230" i="11"/>
  <c r="AC229" i="11"/>
  <c r="T149" i="10"/>
  <c r="Y149" i="10" s="1"/>
  <c r="M149" i="10"/>
  <c r="U149" i="10" s="1"/>
  <c r="Z149" i="10" s="1"/>
  <c r="S151" i="10"/>
  <c r="N151" i="10"/>
  <c r="K151" i="10"/>
  <c r="V151" i="10" s="1"/>
  <c r="Q186" i="10"/>
  <c r="P186" i="10"/>
  <c r="R186" i="10" s="1"/>
  <c r="L150" i="10"/>
  <c r="AG231" i="11" l="1"/>
  <c r="AH230" i="11"/>
  <c r="AB231" i="11"/>
  <c r="AC230" i="11"/>
  <c r="T150" i="10"/>
  <c r="Y150" i="10" s="1"/>
  <c r="M150" i="10"/>
  <c r="U150" i="10" s="1"/>
  <c r="Z150" i="10" s="1"/>
  <c r="P187" i="10"/>
  <c r="R187" i="10" s="1"/>
  <c r="Q187" i="10"/>
  <c r="S152" i="10"/>
  <c r="K152" i="10"/>
  <c r="V152" i="10" s="1"/>
  <c r="N152" i="10"/>
  <c r="L151" i="10"/>
  <c r="AG232" i="11" l="1"/>
  <c r="AH231" i="11"/>
  <c r="AB232" i="11"/>
  <c r="AC231" i="11"/>
  <c r="T151" i="10"/>
  <c r="Y151" i="10" s="1"/>
  <c r="M151" i="10"/>
  <c r="U151" i="10" s="1"/>
  <c r="Z151" i="10" s="1"/>
  <c r="L152" i="10"/>
  <c r="Q188" i="10"/>
  <c r="P188" i="10"/>
  <c r="R188" i="10" s="1"/>
  <c r="S153" i="10"/>
  <c r="K153" i="10"/>
  <c r="V153" i="10" s="1"/>
  <c r="N153" i="10"/>
  <c r="AG233" i="11" l="1"/>
  <c r="AH232" i="11"/>
  <c r="AB233" i="11"/>
  <c r="AC232" i="11"/>
  <c r="T152" i="10"/>
  <c r="Y152" i="10" s="1"/>
  <c r="M152" i="10"/>
  <c r="U152" i="10" s="1"/>
  <c r="Z152" i="10" s="1"/>
  <c r="L153" i="10"/>
  <c r="K154" i="10"/>
  <c r="V154" i="10" s="1"/>
  <c r="N154" i="10"/>
  <c r="S154" i="10"/>
  <c r="Q189" i="10"/>
  <c r="P189" i="10"/>
  <c r="R189" i="10" s="1"/>
  <c r="AG234" i="11" l="1"/>
  <c r="AH233" i="11"/>
  <c r="AB234" i="11"/>
  <c r="AC233" i="11"/>
  <c r="T153" i="10"/>
  <c r="Y153" i="10" s="1"/>
  <c r="M153" i="10"/>
  <c r="U153" i="10" s="1"/>
  <c r="Z153" i="10" s="1"/>
  <c r="S155" i="10"/>
  <c r="N155" i="10"/>
  <c r="K155" i="10"/>
  <c r="V155" i="10" s="1"/>
  <c r="R4" i="10"/>
  <c r="R3" i="10"/>
  <c r="L154" i="10"/>
  <c r="AG235" i="11" l="1"/>
  <c r="AH234" i="11"/>
  <c r="AB235" i="11"/>
  <c r="AC234" i="11"/>
  <c r="T154" i="10"/>
  <c r="Y154" i="10" s="1"/>
  <c r="M154" i="10"/>
  <c r="U154" i="10" s="1"/>
  <c r="Z154" i="10" s="1"/>
  <c r="S156" i="10"/>
  <c r="N156" i="10"/>
  <c r="K156" i="10"/>
  <c r="V156" i="10" s="1"/>
  <c r="L155" i="10"/>
  <c r="AH235" i="11" l="1"/>
  <c r="AG236" i="11"/>
  <c r="AB236" i="11"/>
  <c r="AC235" i="11"/>
  <c r="T155" i="10"/>
  <c r="Y155" i="10" s="1"/>
  <c r="M155" i="10"/>
  <c r="U155" i="10" s="1"/>
  <c r="Z155" i="10" s="1"/>
  <c r="S157" i="10"/>
  <c r="N157" i="10"/>
  <c r="K157" i="10"/>
  <c r="V157" i="10" s="1"/>
  <c r="L156" i="10"/>
  <c r="AG237" i="11" l="1"/>
  <c r="AH236" i="11"/>
  <c r="AB237" i="11"/>
  <c r="AC236" i="11"/>
  <c r="T156" i="10"/>
  <c r="Y156" i="10" s="1"/>
  <c r="M156" i="10"/>
  <c r="U156" i="10" s="1"/>
  <c r="Z156" i="10" s="1"/>
  <c r="S158" i="10"/>
  <c r="N158" i="10"/>
  <c r="K158" i="10"/>
  <c r="V158" i="10" s="1"/>
  <c r="L157" i="10"/>
  <c r="AH237" i="11" l="1"/>
  <c r="AG238" i="11"/>
  <c r="AB238" i="11"/>
  <c r="AC237" i="11"/>
  <c r="T157" i="10"/>
  <c r="Y157" i="10" s="1"/>
  <c r="M157" i="10"/>
  <c r="U157" i="10" s="1"/>
  <c r="Z157" i="10" s="1"/>
  <c r="S159" i="10"/>
  <c r="N159" i="10"/>
  <c r="K159" i="10"/>
  <c r="V159" i="10" s="1"/>
  <c r="L158" i="10"/>
  <c r="AG239" i="11" l="1"/>
  <c r="AH238" i="11"/>
  <c r="AB239" i="11"/>
  <c r="AC238" i="11"/>
  <c r="T158" i="10"/>
  <c r="Y158" i="10" s="1"/>
  <c r="M158" i="10"/>
  <c r="U158" i="10" s="1"/>
  <c r="Z158" i="10" s="1"/>
  <c r="S160" i="10"/>
  <c r="K160" i="10"/>
  <c r="V160" i="10" s="1"/>
  <c r="N160" i="10"/>
  <c r="L159" i="10"/>
  <c r="AG240" i="11" l="1"/>
  <c r="AH239" i="11"/>
  <c r="AB240" i="11"/>
  <c r="AC239" i="11"/>
  <c r="T159" i="10"/>
  <c r="Y159" i="10" s="1"/>
  <c r="M159" i="10"/>
  <c r="U159" i="10" s="1"/>
  <c r="Z159" i="10" s="1"/>
  <c r="L160" i="10"/>
  <c r="S161" i="10"/>
  <c r="N161" i="10"/>
  <c r="K161" i="10"/>
  <c r="V161" i="10" s="1"/>
  <c r="AG241" i="11" l="1"/>
  <c r="AH240" i="11"/>
  <c r="AB241" i="11"/>
  <c r="AC240" i="11"/>
  <c r="T160" i="10"/>
  <c r="Y160" i="10" s="1"/>
  <c r="M160" i="10"/>
  <c r="U160" i="10" s="1"/>
  <c r="Z160" i="10" s="1"/>
  <c r="S162" i="10"/>
  <c r="K162" i="10"/>
  <c r="V162" i="10" s="1"/>
  <c r="N162" i="10"/>
  <c r="L161" i="10"/>
  <c r="AH241" i="11" l="1"/>
  <c r="AG242" i="11"/>
  <c r="AB242" i="11"/>
  <c r="AC241" i="11"/>
  <c r="T161" i="10"/>
  <c r="Y161" i="10" s="1"/>
  <c r="M161" i="10"/>
  <c r="U161" i="10" s="1"/>
  <c r="Z161" i="10" s="1"/>
  <c r="L162" i="10"/>
  <c r="K163" i="10"/>
  <c r="V163" i="10" s="1"/>
  <c r="N163" i="10"/>
  <c r="S163" i="10"/>
  <c r="AG243" i="11" l="1"/>
  <c r="AH242" i="11"/>
  <c r="AB243" i="11"/>
  <c r="AC242" i="11"/>
  <c r="T162" i="10"/>
  <c r="Y162" i="10" s="1"/>
  <c r="M162" i="10"/>
  <c r="U162" i="10" s="1"/>
  <c r="Z162" i="10" s="1"/>
  <c r="L163" i="10"/>
  <c r="S164" i="10"/>
  <c r="K164" i="10"/>
  <c r="V164" i="10" s="1"/>
  <c r="N164" i="10"/>
  <c r="AG244" i="11" l="1"/>
  <c r="AH243" i="11"/>
  <c r="AB244" i="11"/>
  <c r="AC243" i="11"/>
  <c r="T163" i="10"/>
  <c r="Y163" i="10" s="1"/>
  <c r="M163" i="10"/>
  <c r="U163" i="10" s="1"/>
  <c r="Z163" i="10" s="1"/>
  <c r="L164" i="10"/>
  <c r="S165" i="10"/>
  <c r="N165" i="10"/>
  <c r="K165" i="10"/>
  <c r="V165" i="10" s="1"/>
  <c r="AG245" i="11" l="1"/>
  <c r="AH244" i="11"/>
  <c r="AB245" i="11"/>
  <c r="AC244" i="11"/>
  <c r="T164" i="10"/>
  <c r="Y164" i="10" s="1"/>
  <c r="M164" i="10"/>
  <c r="U164" i="10" s="1"/>
  <c r="Z164" i="10" s="1"/>
  <c r="L165" i="10"/>
  <c r="S166" i="10"/>
  <c r="N166" i="10"/>
  <c r="K166" i="10"/>
  <c r="V166" i="10" s="1"/>
  <c r="AG246" i="11" l="1"/>
  <c r="AH245" i="11"/>
  <c r="AC245" i="11"/>
  <c r="AB246" i="11"/>
  <c r="T165" i="10"/>
  <c r="Y165" i="10" s="1"/>
  <c r="M165" i="10"/>
  <c r="U165" i="10" s="1"/>
  <c r="Z165" i="10" s="1"/>
  <c r="S167" i="10"/>
  <c r="N167" i="10"/>
  <c r="K167" i="10"/>
  <c r="V167" i="10" s="1"/>
  <c r="L166" i="10"/>
  <c r="AG247" i="11" l="1"/>
  <c r="AH246" i="11"/>
  <c r="AC246" i="11"/>
  <c r="AB247" i="11"/>
  <c r="T166" i="10"/>
  <c r="Y166" i="10" s="1"/>
  <c r="M166" i="10"/>
  <c r="U166" i="10" s="1"/>
  <c r="Z166" i="10" s="1"/>
  <c r="N168" i="10"/>
  <c r="S168" i="10"/>
  <c r="K168" i="10"/>
  <c r="V168" i="10" s="1"/>
  <c r="L167" i="10"/>
  <c r="AG248" i="11" l="1"/>
  <c r="AH247" i="11"/>
  <c r="AB248" i="11"/>
  <c r="AC247" i="11"/>
  <c r="T167" i="10"/>
  <c r="Y167" i="10" s="1"/>
  <c r="M167" i="10"/>
  <c r="U167" i="10" s="1"/>
  <c r="Z167" i="10" s="1"/>
  <c r="L168" i="10"/>
  <c r="S169" i="10"/>
  <c r="N169" i="10"/>
  <c r="K169" i="10"/>
  <c r="V169" i="10" s="1"/>
  <c r="AH248" i="11" l="1"/>
  <c r="AG249" i="11"/>
  <c r="AC248" i="11"/>
  <c r="AB249" i="11"/>
  <c r="T168" i="10"/>
  <c r="M168" i="10"/>
  <c r="U168" i="10" s="1"/>
  <c r="Z168" i="10" s="1"/>
  <c r="Y168" i="10"/>
  <c r="S170" i="10"/>
  <c r="N170" i="10"/>
  <c r="K170" i="10"/>
  <c r="V170" i="10" s="1"/>
  <c r="L169" i="10"/>
  <c r="AG250" i="11" l="1"/>
  <c r="AH249" i="11"/>
  <c r="AB250" i="11"/>
  <c r="AC249" i="11"/>
  <c r="T169" i="10"/>
  <c r="Y169" i="10" s="1"/>
  <c r="M169" i="10"/>
  <c r="U169" i="10" s="1"/>
  <c r="Z169" i="10" s="1"/>
  <c r="L170" i="10"/>
  <c r="S171" i="10"/>
  <c r="N171" i="10"/>
  <c r="K171" i="10"/>
  <c r="V171" i="10" s="1"/>
  <c r="AG251" i="11" l="1"/>
  <c r="AH250" i="11"/>
  <c r="AB251" i="11"/>
  <c r="AC250" i="11"/>
  <c r="T170" i="10"/>
  <c r="M170" i="10"/>
  <c r="U170" i="10" s="1"/>
  <c r="Z170" i="10" s="1"/>
  <c r="Y170" i="10"/>
  <c r="N172" i="10"/>
  <c r="S172" i="10"/>
  <c r="K172" i="10"/>
  <c r="V172" i="10" s="1"/>
  <c r="L171" i="10"/>
  <c r="AG252" i="11" l="1"/>
  <c r="AH251" i="11"/>
  <c r="AB252" i="11"/>
  <c r="AC251" i="11"/>
  <c r="T171" i="10"/>
  <c r="Y171" i="10" s="1"/>
  <c r="M171" i="10"/>
  <c r="U171" i="10" s="1"/>
  <c r="Z171" i="10" s="1"/>
  <c r="L172" i="10"/>
  <c r="S173" i="10"/>
  <c r="N173" i="10"/>
  <c r="K173" i="10"/>
  <c r="V173" i="10" s="1"/>
  <c r="AG253" i="11" l="1"/>
  <c r="AH252" i="11"/>
  <c r="AB253" i="11"/>
  <c r="AC252" i="11"/>
  <c r="T172" i="10"/>
  <c r="M172" i="10"/>
  <c r="U172" i="10" s="1"/>
  <c r="Z172" i="10" s="1"/>
  <c r="Y172" i="10"/>
  <c r="L173" i="10"/>
  <c r="S174" i="10"/>
  <c r="N174" i="10"/>
  <c r="K174" i="10"/>
  <c r="V174" i="10" s="1"/>
  <c r="AG254" i="11" l="1"/>
  <c r="AH253" i="11"/>
  <c r="AB254" i="11"/>
  <c r="AC253" i="11"/>
  <c r="T173" i="10"/>
  <c r="M173" i="10"/>
  <c r="U173" i="10" s="1"/>
  <c r="Z173" i="10" s="1"/>
  <c r="L174" i="10"/>
  <c r="S175" i="10"/>
  <c r="N175" i="10"/>
  <c r="K175" i="10"/>
  <c r="V175" i="10" s="1"/>
  <c r="Y173" i="10"/>
  <c r="AH254" i="11" l="1"/>
  <c r="AG255" i="11"/>
  <c r="AB255" i="11"/>
  <c r="AC254" i="11"/>
  <c r="T174" i="10"/>
  <c r="M174" i="10"/>
  <c r="U174" i="10" s="1"/>
  <c r="Z174" i="10" s="1"/>
  <c r="L175" i="10"/>
  <c r="S176" i="10"/>
  <c r="K176" i="10"/>
  <c r="V176" i="10" s="1"/>
  <c r="N176" i="10"/>
  <c r="Y174" i="10"/>
  <c r="AG256" i="11" l="1"/>
  <c r="AH255" i="11"/>
  <c r="AB256" i="11"/>
  <c r="AC255" i="11"/>
  <c r="T175" i="10"/>
  <c r="M175" i="10"/>
  <c r="U175" i="10" s="1"/>
  <c r="Z175" i="10" s="1"/>
  <c r="S177" i="10"/>
  <c r="K177" i="10"/>
  <c r="V177" i="10" s="1"/>
  <c r="N177" i="10"/>
  <c r="L176" i="10"/>
  <c r="Y175" i="10"/>
  <c r="AG257" i="11" l="1"/>
  <c r="AH256" i="11"/>
  <c r="AB257" i="11"/>
  <c r="AC256" i="11"/>
  <c r="T176" i="10"/>
  <c r="Y176" i="10" s="1"/>
  <c r="M176" i="10"/>
  <c r="U176" i="10" s="1"/>
  <c r="Z176" i="10" s="1"/>
  <c r="S178" i="10"/>
  <c r="K178" i="10"/>
  <c r="V178" i="10" s="1"/>
  <c r="N178" i="10"/>
  <c r="L177" i="10"/>
  <c r="AG258" i="11" l="1"/>
  <c r="AH257" i="11"/>
  <c r="AB258" i="11"/>
  <c r="AC257" i="11"/>
  <c r="T177" i="10"/>
  <c r="Y177" i="10" s="1"/>
  <c r="M177" i="10"/>
  <c r="U177" i="10" s="1"/>
  <c r="Z177" i="10" s="1"/>
  <c r="S179" i="10"/>
  <c r="K179" i="10"/>
  <c r="V179" i="10" s="1"/>
  <c r="N179" i="10"/>
  <c r="L178" i="10"/>
  <c r="AG259" i="11" l="1"/>
  <c r="AH258" i="11"/>
  <c r="AB259" i="11"/>
  <c r="AC258" i="11"/>
  <c r="T178" i="10"/>
  <c r="M178" i="10"/>
  <c r="U178" i="10" s="1"/>
  <c r="Z178" i="10" s="1"/>
  <c r="Y178" i="10"/>
  <c r="S180" i="10"/>
  <c r="K180" i="10"/>
  <c r="V180" i="10" s="1"/>
  <c r="N180" i="10"/>
  <c r="L179" i="10"/>
  <c r="AG260" i="11" l="1"/>
  <c r="AH259" i="11"/>
  <c r="AB260" i="11"/>
  <c r="AC259" i="11"/>
  <c r="T179" i="10"/>
  <c r="Y179" i="10" s="1"/>
  <c r="M179" i="10"/>
  <c r="U179" i="10" s="1"/>
  <c r="Z179" i="10" s="1"/>
  <c r="S181" i="10"/>
  <c r="N181" i="10"/>
  <c r="K181" i="10"/>
  <c r="V181" i="10" s="1"/>
  <c r="L180" i="10"/>
  <c r="AG261" i="11" l="1"/>
  <c r="AH260" i="11"/>
  <c r="AB261" i="11"/>
  <c r="AC260" i="11"/>
  <c r="T180" i="10"/>
  <c r="Y180" i="10" s="1"/>
  <c r="M180" i="10"/>
  <c r="U180" i="10" s="1"/>
  <c r="Z180" i="10" s="1"/>
  <c r="L181" i="10"/>
  <c r="S182" i="10"/>
  <c r="N182" i="10"/>
  <c r="K182" i="10"/>
  <c r="V182" i="10" s="1"/>
  <c r="AH261" i="11" l="1"/>
  <c r="AG262" i="11"/>
  <c r="AB262" i="11"/>
  <c r="AC261" i="11"/>
  <c r="T181" i="10"/>
  <c r="M181" i="10"/>
  <c r="U181" i="10" s="1"/>
  <c r="Z181" i="10" s="1"/>
  <c r="Y181" i="10"/>
  <c r="S183" i="10"/>
  <c r="K183" i="10"/>
  <c r="V183" i="10" s="1"/>
  <c r="N183" i="10"/>
  <c r="L182" i="10"/>
  <c r="AG263" i="11" l="1"/>
  <c r="AH262" i="11"/>
  <c r="AB263" i="11"/>
  <c r="AC262" i="11"/>
  <c r="T182" i="10"/>
  <c r="Y182" i="10" s="1"/>
  <c r="M182" i="10"/>
  <c r="U182" i="10" s="1"/>
  <c r="Z182" i="10" s="1"/>
  <c r="S184" i="10"/>
  <c r="N184" i="10"/>
  <c r="K184" i="10"/>
  <c r="V184" i="10" s="1"/>
  <c r="L183" i="10"/>
  <c r="AG264" i="11" l="1"/>
  <c r="AH263" i="11"/>
  <c r="AB264" i="11"/>
  <c r="AC263" i="11"/>
  <c r="T183" i="10"/>
  <c r="Y183" i="10" s="1"/>
  <c r="M183" i="10"/>
  <c r="U183" i="10" s="1"/>
  <c r="Z183" i="10" s="1"/>
  <c r="L184" i="10"/>
  <c r="S185" i="10"/>
  <c r="N185" i="10"/>
  <c r="K185" i="10"/>
  <c r="V185" i="10" s="1"/>
  <c r="AG265" i="11" l="1"/>
  <c r="AH265" i="11" s="1"/>
  <c r="AH264" i="11"/>
  <c r="AB265" i="11"/>
  <c r="AC265" i="11" s="1"/>
  <c r="AC264" i="11"/>
  <c r="T184" i="10"/>
  <c r="Y184" i="10" s="1"/>
  <c r="M184" i="10"/>
  <c r="U184" i="10" s="1"/>
  <c r="Z184" i="10" s="1"/>
  <c r="N186" i="10"/>
  <c r="K186" i="10"/>
  <c r="V186" i="10" s="1"/>
  <c r="S186" i="10"/>
  <c r="L185" i="10"/>
  <c r="T185" i="10" l="1"/>
  <c r="Y185" i="10" s="1"/>
  <c r="M185" i="10"/>
  <c r="U185" i="10" s="1"/>
  <c r="Z185" i="10" s="1"/>
  <c r="L186" i="10"/>
  <c r="S187" i="10"/>
  <c r="N187" i="10"/>
  <c r="K187" i="10"/>
  <c r="V187" i="10" s="1"/>
  <c r="T186" i="10" l="1"/>
  <c r="M186" i="10"/>
  <c r="U186" i="10" s="1"/>
  <c r="Z186" i="10" s="1"/>
  <c r="L187" i="10"/>
  <c r="S188" i="10"/>
  <c r="N188" i="10"/>
  <c r="K188" i="10"/>
  <c r="V188" i="10" s="1"/>
  <c r="Y186" i="10"/>
  <c r="T187" i="10" l="1"/>
  <c r="Y187" i="10" s="1"/>
  <c r="M187" i="10"/>
  <c r="U187" i="10" s="1"/>
  <c r="Z187" i="10" s="1"/>
  <c r="S189" i="10"/>
  <c r="K189" i="10"/>
  <c r="V189" i="10" s="1"/>
  <c r="N189" i="10"/>
  <c r="L188" i="10"/>
  <c r="T188" i="10" l="1"/>
  <c r="M188" i="10"/>
  <c r="U188" i="10" s="1"/>
  <c r="Z188" i="10" s="1"/>
  <c r="Y188" i="10"/>
  <c r="V4" i="10"/>
  <c r="X3" i="10" s="1"/>
  <c r="L189" i="10"/>
  <c r="M189" i="10" s="1"/>
  <c r="K4" i="10"/>
  <c r="U189" i="10" l="1"/>
  <c r="M3" i="10"/>
  <c r="M4" i="10"/>
  <c r="D35" i="10" s="1"/>
  <c r="T189" i="10"/>
  <c r="L4" i="10"/>
  <c r="L3" i="10"/>
  <c r="Z189" i="10" l="1"/>
  <c r="Z3" i="10" s="1"/>
  <c r="U3" i="10"/>
  <c r="D31" i="10"/>
  <c r="D32" i="10" s="1"/>
  <c r="D33" i="10" s="1"/>
  <c r="D28" i="10"/>
  <c r="Y189" i="10"/>
  <c r="Y3" i="10" s="1"/>
  <c r="T3" i="10"/>
  <c r="G24" i="13" l="1"/>
  <c r="G26" i="13"/>
  <c r="G10" i="13"/>
  <c r="G19" i="13"/>
  <c r="G14" i="13"/>
  <c r="G18" i="13"/>
  <c r="G33" i="13"/>
  <c r="G25" i="13"/>
  <c r="G27" i="13"/>
  <c r="G41" i="13"/>
  <c r="G28" i="13"/>
  <c r="G17" i="13"/>
  <c r="G15" i="13"/>
  <c r="G42" i="13"/>
  <c r="G21" i="13"/>
  <c r="G29" i="13"/>
  <c r="G34" i="13"/>
  <c r="G32" i="13"/>
  <c r="G36" i="13"/>
  <c r="G37" i="13"/>
  <c r="G40" i="13"/>
  <c r="G11" i="13"/>
  <c r="G20" i="13"/>
  <c r="G16" i="13"/>
  <c r="G38" i="13"/>
  <c r="G35" i="13"/>
  <c r="G30" i="13"/>
  <c r="G31" i="13"/>
  <c r="G22" i="13"/>
  <c r="G9" i="13"/>
  <c r="G23" i="13"/>
  <c r="G39" i="13"/>
  <c r="G12" i="13"/>
  <c r="G13" i="13"/>
  <c r="G8" i="13" l="1"/>
  <c r="G7" i="13" l="1"/>
  <c r="G2" i="13" s="1"/>
  <c r="L107" i="9" l="1"/>
  <c r="L93" i="9"/>
  <c r="L118" i="9"/>
  <c r="L85" i="9"/>
  <c r="L95" i="9"/>
  <c r="L87" i="9"/>
  <c r="L160" i="9"/>
  <c r="L86" i="9"/>
  <c r="L188" i="9"/>
  <c r="L159" i="9"/>
  <c r="L117" i="9"/>
  <c r="L148" i="9"/>
  <c r="L84" i="9"/>
  <c r="L128" i="9"/>
  <c r="L150" i="9"/>
  <c r="L182" i="9"/>
  <c r="L162" i="9"/>
  <c r="L141" i="9"/>
  <c r="L130" i="9"/>
  <c r="L110" i="9"/>
  <c r="L183" i="9"/>
  <c r="L163" i="9"/>
  <c r="L144" i="9"/>
  <c r="L131" i="9"/>
  <c r="L185" i="9"/>
  <c r="L175" i="9"/>
  <c r="L165" i="9"/>
  <c r="L145" i="9"/>
  <c r="L133" i="9"/>
  <c r="L124" i="9"/>
  <c r="L122" i="9"/>
  <c r="L103" i="9"/>
  <c r="L176" i="9"/>
  <c r="L156" i="9"/>
  <c r="L146" i="9"/>
  <c r="L134" i="9"/>
  <c r="L113" i="9"/>
  <c r="L177" i="9"/>
  <c r="L158" i="9"/>
  <c r="L136" i="9"/>
  <c r="L126" i="9"/>
  <c r="L115" i="9"/>
  <c r="L105" i="9"/>
  <c r="L181" i="9"/>
  <c r="L172" i="9"/>
  <c r="L161" i="9"/>
  <c r="L140" i="9"/>
  <c r="L129" i="9"/>
  <c r="L109" i="9"/>
  <c r="L100" i="9"/>
  <c r="L90" i="9"/>
  <c r="L169" i="9"/>
  <c r="L102" i="9"/>
  <c r="L108" i="9"/>
  <c r="L139" i="9"/>
  <c r="L179" i="9"/>
  <c r="L82" i="9"/>
  <c r="L149" i="9"/>
  <c r="L189" i="9"/>
  <c r="L88" i="9"/>
  <c r="L180" i="9"/>
  <c r="L137" i="9"/>
  <c r="L98" i="9"/>
  <c r="L94" i="9"/>
  <c r="L101" i="9"/>
  <c r="L184" i="9"/>
  <c r="L174" i="9"/>
  <c r="L164" i="9"/>
  <c r="L153" i="9"/>
  <c r="L143" i="9"/>
  <c r="L132" i="9"/>
  <c r="L166" i="9"/>
  <c r="L186" i="9"/>
  <c r="L155" i="9"/>
  <c r="L104" i="9"/>
  <c r="L187" i="9"/>
  <c r="L116" i="9"/>
  <c r="L96" i="9"/>
  <c r="L171" i="9"/>
  <c r="L91" i="9"/>
  <c r="L89" i="9"/>
  <c r="L111" i="9"/>
  <c r="L97" i="9"/>
  <c r="L106" i="9"/>
  <c r="L138" i="9"/>
  <c r="L83" i="9"/>
  <c r="L127" i="9"/>
  <c r="L92" i="9"/>
  <c r="L173" i="9"/>
  <c r="L152" i="9"/>
  <c r="L142" i="9"/>
  <c r="L120" i="9"/>
  <c r="L121" i="9"/>
  <c r="L154" i="9"/>
  <c r="L123" i="9"/>
  <c r="L112" i="9"/>
  <c r="L167" i="9"/>
  <c r="L125" i="9"/>
  <c r="L168" i="9"/>
  <c r="L157" i="9"/>
  <c r="L147" i="9"/>
  <c r="L135" i="9"/>
  <c r="L114" i="9"/>
  <c r="L151" i="9"/>
  <c r="L119" i="9"/>
  <c r="L99" i="9"/>
  <c r="L178" i="9"/>
  <c r="L170" i="9"/>
  <c r="M157" i="9" l="1"/>
  <c r="V157" i="9" s="1"/>
  <c r="M125" i="9"/>
  <c r="V125" i="9" s="1"/>
  <c r="M112" i="9"/>
  <c r="V112" i="9" s="1"/>
  <c r="M154" i="9"/>
  <c r="V154" i="9" s="1"/>
  <c r="M120" i="9"/>
  <c r="V120" i="9" s="1"/>
  <c r="M152" i="9"/>
  <c r="V152" i="9" s="1"/>
  <c r="M127" i="9"/>
  <c r="V127" i="9" s="1"/>
  <c r="M138" i="9"/>
  <c r="V138" i="9" s="1"/>
  <c r="M111" i="9"/>
  <c r="V111" i="9" s="1"/>
  <c r="M96" i="9"/>
  <c r="V96" i="9" s="1"/>
  <c r="M187" i="9"/>
  <c r="V187" i="9" s="1"/>
  <c r="M155" i="9"/>
  <c r="V155" i="9" s="1"/>
  <c r="M166" i="9"/>
  <c r="V166" i="9" s="1"/>
  <c r="M143" i="9"/>
  <c r="V143" i="9" s="1"/>
  <c r="M164" i="9"/>
  <c r="V164" i="9" s="1"/>
  <c r="M184" i="9"/>
  <c r="V184" i="9" s="1"/>
  <c r="M94" i="9"/>
  <c r="V94" i="9" s="1"/>
  <c r="M180" i="9"/>
  <c r="V180" i="9" s="1"/>
  <c r="M189" i="9"/>
  <c r="V189" i="9" s="1"/>
  <c r="M149" i="9"/>
  <c r="V149" i="9" s="1"/>
  <c r="M82" i="9"/>
  <c r="V82" i="9" s="1"/>
  <c r="M179" i="9"/>
  <c r="V179" i="9" s="1"/>
  <c r="M108" i="9"/>
  <c r="V108" i="9" s="1"/>
  <c r="M90" i="9"/>
  <c r="V90" i="9" s="1"/>
  <c r="M100" i="9"/>
  <c r="V100" i="9" s="1"/>
  <c r="M129" i="9"/>
  <c r="V129" i="9" s="1"/>
  <c r="M161" i="9"/>
  <c r="V161" i="9" s="1"/>
  <c r="M181" i="9"/>
  <c r="V181" i="9" s="1"/>
  <c r="M115" i="9"/>
  <c r="V115" i="9" s="1"/>
  <c r="M136" i="9"/>
  <c r="V136" i="9" s="1"/>
  <c r="M177" i="9"/>
  <c r="V177" i="9" s="1"/>
  <c r="M134" i="9"/>
  <c r="V134" i="9" s="1"/>
  <c r="M156" i="9"/>
  <c r="V156" i="9" s="1"/>
  <c r="M103" i="9"/>
  <c r="V103" i="9" s="1"/>
  <c r="M124" i="9"/>
  <c r="V124" i="9" s="1"/>
  <c r="M145" i="9"/>
  <c r="V145" i="9" s="1"/>
  <c r="M175" i="9"/>
  <c r="V175" i="9" s="1"/>
  <c r="M131" i="9"/>
  <c r="V131" i="9" s="1"/>
  <c r="M163" i="9"/>
  <c r="V163" i="9" s="1"/>
  <c r="M110" i="9"/>
  <c r="V110" i="9" s="1"/>
  <c r="M141" i="9"/>
  <c r="V141" i="9" s="1"/>
  <c r="M182" i="9"/>
  <c r="V182" i="9" s="1"/>
  <c r="M128" i="9"/>
  <c r="V128" i="9" s="1"/>
  <c r="M117" i="9"/>
  <c r="V117" i="9" s="1"/>
  <c r="M188" i="9"/>
  <c r="V188" i="9" s="1"/>
  <c r="M87" i="9"/>
  <c r="V87" i="9" s="1"/>
  <c r="M85" i="9"/>
  <c r="V85" i="9" s="1"/>
  <c r="M93" i="9"/>
  <c r="V93" i="9" s="1"/>
  <c r="M170" i="9"/>
  <c r="V170" i="9" s="1"/>
  <c r="M99" i="9"/>
  <c r="V99" i="9" s="1"/>
  <c r="M151" i="9"/>
  <c r="V151" i="9" s="1"/>
  <c r="M135" i="9"/>
  <c r="V135" i="9" s="1"/>
  <c r="M178" i="9"/>
  <c r="V178" i="9" s="1"/>
  <c r="M119" i="9"/>
  <c r="V119" i="9" s="1"/>
  <c r="M114" i="9"/>
  <c r="V114" i="9" s="1"/>
  <c r="M147" i="9"/>
  <c r="V147" i="9" s="1"/>
  <c r="M168" i="9"/>
  <c r="V168" i="9" s="1"/>
  <c r="M167" i="9"/>
  <c r="V167" i="9" s="1"/>
  <c r="M123" i="9"/>
  <c r="V123" i="9" s="1"/>
  <c r="M121" i="9"/>
  <c r="V121" i="9" s="1"/>
  <c r="M142" i="9"/>
  <c r="V142" i="9" s="1"/>
  <c r="M173" i="9"/>
  <c r="V173" i="9" s="1"/>
  <c r="M92" i="9"/>
  <c r="V92" i="9" s="1"/>
  <c r="M83" i="9"/>
  <c r="V83" i="9" s="1"/>
  <c r="M106" i="9"/>
  <c r="V106" i="9" s="1"/>
  <c r="M97" i="9"/>
  <c r="V97" i="9" s="1"/>
  <c r="M89" i="9"/>
  <c r="V89" i="9" s="1"/>
  <c r="M91" i="9"/>
  <c r="V91" i="9" s="1"/>
  <c r="M171" i="9"/>
  <c r="V171" i="9" s="1"/>
  <c r="M116" i="9"/>
  <c r="V116" i="9" s="1"/>
  <c r="M104" i="9"/>
  <c r="V104" i="9" s="1"/>
  <c r="M186" i="9"/>
  <c r="V186" i="9" s="1"/>
  <c r="M132" i="9"/>
  <c r="V132" i="9" s="1"/>
  <c r="M153" i="9"/>
  <c r="V153" i="9" s="1"/>
  <c r="M174" i="9"/>
  <c r="V174" i="9" s="1"/>
  <c r="M101" i="9"/>
  <c r="V101" i="9" s="1"/>
  <c r="M98" i="9"/>
  <c r="V98" i="9" s="1"/>
  <c r="M137" i="9"/>
  <c r="V137" i="9" s="1"/>
  <c r="M88" i="9"/>
  <c r="V88" i="9" s="1"/>
  <c r="M139" i="9"/>
  <c r="V139" i="9" s="1"/>
  <c r="M102" i="9"/>
  <c r="V102" i="9" s="1"/>
  <c r="M169" i="9"/>
  <c r="V169" i="9" s="1"/>
  <c r="M109" i="9"/>
  <c r="V109" i="9" s="1"/>
  <c r="M140" i="9"/>
  <c r="V140" i="9" s="1"/>
  <c r="M172" i="9"/>
  <c r="V172" i="9" s="1"/>
  <c r="M105" i="9"/>
  <c r="V105" i="9" s="1"/>
  <c r="M126" i="9"/>
  <c r="V126" i="9" s="1"/>
  <c r="M158" i="9"/>
  <c r="V158" i="9" s="1"/>
  <c r="M113" i="9"/>
  <c r="V113" i="9" s="1"/>
  <c r="M146" i="9"/>
  <c r="V146" i="9" s="1"/>
  <c r="M176" i="9"/>
  <c r="V176" i="9" s="1"/>
  <c r="M122" i="9"/>
  <c r="V122" i="9" s="1"/>
  <c r="M133" i="9"/>
  <c r="V133" i="9" s="1"/>
  <c r="M165" i="9"/>
  <c r="V165" i="9" s="1"/>
  <c r="M185" i="9"/>
  <c r="V185" i="9" s="1"/>
  <c r="M144" i="9"/>
  <c r="V144" i="9" s="1"/>
  <c r="M183" i="9"/>
  <c r="V183" i="9" s="1"/>
  <c r="M130" i="9"/>
  <c r="V130" i="9" s="1"/>
  <c r="M162" i="9"/>
  <c r="V162" i="9" s="1"/>
  <c r="M150" i="9"/>
  <c r="V150" i="9" s="1"/>
  <c r="M84" i="9"/>
  <c r="V84" i="9" s="1"/>
  <c r="M148" i="9"/>
  <c r="V148" i="9" s="1"/>
  <c r="M159" i="9"/>
  <c r="V159" i="9" s="1"/>
  <c r="M86" i="9"/>
  <c r="V86" i="9" s="1"/>
  <c r="M160" i="9"/>
  <c r="V160" i="9" s="1"/>
  <c r="M95" i="9"/>
  <c r="V95" i="9" s="1"/>
  <c r="M118" i="9"/>
  <c r="V118" i="9" s="1"/>
  <c r="M107" i="9"/>
  <c r="V107" i="9" s="1"/>
  <c r="U170" i="9"/>
  <c r="U99" i="9"/>
  <c r="U151" i="9"/>
  <c r="U135" i="9"/>
  <c r="U157" i="9"/>
  <c r="U125" i="9"/>
  <c r="U112" i="9"/>
  <c r="U154" i="9"/>
  <c r="U120" i="9"/>
  <c r="U152" i="9"/>
  <c r="U127" i="9"/>
  <c r="U138" i="9"/>
  <c r="U111" i="9"/>
  <c r="U96" i="9"/>
  <c r="U187" i="9"/>
  <c r="U155" i="9"/>
  <c r="U166" i="9"/>
  <c r="U143" i="9"/>
  <c r="U164" i="9"/>
  <c r="U184" i="9"/>
  <c r="U94" i="9"/>
  <c r="U180" i="9"/>
  <c r="U189" i="9"/>
  <c r="U149" i="9"/>
  <c r="U82" i="9"/>
  <c r="U179" i="9"/>
  <c r="U108" i="9"/>
  <c r="U90" i="9"/>
  <c r="U100" i="9"/>
  <c r="U129" i="9"/>
  <c r="U161" i="9"/>
  <c r="U181" i="9"/>
  <c r="U115" i="9"/>
  <c r="U136" i="9"/>
  <c r="U177" i="9"/>
  <c r="U134" i="9"/>
  <c r="U156" i="9"/>
  <c r="U103" i="9"/>
  <c r="U124" i="9"/>
  <c r="U145" i="9"/>
  <c r="U175" i="9"/>
  <c r="U131" i="9"/>
  <c r="U163" i="9"/>
  <c r="U110" i="9"/>
  <c r="U141" i="9"/>
  <c r="U182" i="9"/>
  <c r="U128" i="9"/>
  <c r="U117" i="9"/>
  <c r="U188" i="9"/>
  <c r="U87" i="9"/>
  <c r="U85" i="9"/>
  <c r="U93" i="9"/>
  <c r="U178" i="9"/>
  <c r="U119" i="9"/>
  <c r="U114" i="9"/>
  <c r="U147" i="9"/>
  <c r="U168" i="9"/>
  <c r="U167" i="9"/>
  <c r="U123" i="9"/>
  <c r="U121" i="9"/>
  <c r="U142" i="9"/>
  <c r="U173" i="9"/>
  <c r="U92" i="9"/>
  <c r="U83" i="9"/>
  <c r="U106" i="9"/>
  <c r="U97" i="9"/>
  <c r="U89" i="9"/>
  <c r="U91" i="9"/>
  <c r="U171" i="9"/>
  <c r="U116" i="9"/>
  <c r="U104" i="9"/>
  <c r="U186" i="9"/>
  <c r="U132" i="9"/>
  <c r="U153" i="9"/>
  <c r="U174" i="9"/>
  <c r="U101" i="9"/>
  <c r="U98" i="9"/>
  <c r="U137" i="9"/>
  <c r="U88" i="9"/>
  <c r="U139" i="9"/>
  <c r="U102" i="9"/>
  <c r="U169" i="9"/>
  <c r="U109" i="9"/>
  <c r="U140" i="9"/>
  <c r="U172" i="9"/>
  <c r="U105" i="9"/>
  <c r="U126" i="9"/>
  <c r="U158" i="9"/>
  <c r="U113" i="9"/>
  <c r="U146" i="9"/>
  <c r="U176" i="9"/>
  <c r="U122" i="9"/>
  <c r="U133" i="9"/>
  <c r="U165" i="9"/>
  <c r="U185" i="9"/>
  <c r="U144" i="9"/>
  <c r="U183" i="9"/>
  <c r="U130" i="9"/>
  <c r="U162" i="9"/>
  <c r="U150" i="9"/>
  <c r="U84" i="9"/>
  <c r="U148" i="9"/>
  <c r="U159" i="9"/>
  <c r="U86" i="9"/>
  <c r="U160" i="9"/>
  <c r="U95" i="9"/>
  <c r="U118" i="9"/>
  <c r="U107" i="9"/>
  <c r="K82" i="7" l="1"/>
  <c r="O82" i="7"/>
  <c r="M82" i="7" l="1"/>
  <c r="L82" i="7"/>
  <c r="P82" i="7" s="1"/>
  <c r="O83" i="7"/>
  <c r="K83" i="7"/>
  <c r="Q82" i="7" l="1"/>
  <c r="R82" i="7" s="1"/>
  <c r="N82" i="7"/>
  <c r="O84" i="7"/>
  <c r="K84" i="7"/>
  <c r="L83" i="7"/>
  <c r="S82" i="7" l="1"/>
  <c r="U82" i="7" s="1"/>
  <c r="T82" i="7"/>
  <c r="V82" i="7" s="1"/>
  <c r="M83" i="7"/>
  <c r="P83" i="7"/>
  <c r="K85" i="7"/>
  <c r="O85" i="7"/>
  <c r="L84" i="7"/>
  <c r="Q83" i="7" l="1"/>
  <c r="N83" i="7"/>
  <c r="M84" i="7"/>
  <c r="P84" i="7"/>
  <c r="K86" i="7"/>
  <c r="O86" i="7"/>
  <c r="L85" i="7"/>
  <c r="P85" i="7" s="1"/>
  <c r="M85" i="7"/>
  <c r="Q85" i="7" l="1"/>
  <c r="R85" i="7" s="1"/>
  <c r="T85" i="7" s="1"/>
  <c r="V85" i="7" s="1"/>
  <c r="N85" i="7"/>
  <c r="Q84" i="7"/>
  <c r="N84" i="7"/>
  <c r="R83" i="7"/>
  <c r="T83" i="7" s="1"/>
  <c r="V83" i="7" s="1"/>
  <c r="S83" i="7"/>
  <c r="U83" i="7" s="1"/>
  <c r="S85" i="7"/>
  <c r="U85" i="7" s="1"/>
  <c r="O87" i="7"/>
  <c r="K87" i="7"/>
  <c r="M86" i="7"/>
  <c r="L86" i="7"/>
  <c r="P86" i="7" s="1"/>
  <c r="Q86" i="7" l="1"/>
  <c r="R86" i="7" s="1"/>
  <c r="T86" i="7" s="1"/>
  <c r="V86" i="7" s="1"/>
  <c r="N86" i="7"/>
  <c r="R84" i="7"/>
  <c r="S84" i="7"/>
  <c r="U84" i="7" s="1"/>
  <c r="L87" i="7"/>
  <c r="K88" i="7"/>
  <c r="O88" i="7"/>
  <c r="S86" i="7" l="1"/>
  <c r="U86" i="7" s="1"/>
  <c r="T84" i="7"/>
  <c r="V84" i="7" s="1"/>
  <c r="M87" i="7"/>
  <c r="P87" i="7"/>
  <c r="O89" i="7"/>
  <c r="K89" i="7"/>
  <c r="L88" i="7"/>
  <c r="P88" i="7" s="1"/>
  <c r="M88" i="7"/>
  <c r="Q88" i="7" l="1"/>
  <c r="R88" i="7" s="1"/>
  <c r="T88" i="7" s="1"/>
  <c r="V88" i="7" s="1"/>
  <c r="N88" i="7"/>
  <c r="Q87" i="7"/>
  <c r="N87" i="7"/>
  <c r="L89" i="7"/>
  <c r="K90" i="7"/>
  <c r="O90" i="7"/>
  <c r="S87" i="7" l="1"/>
  <c r="U87" i="7" s="1"/>
  <c r="R87" i="7"/>
  <c r="T87" i="7" s="1"/>
  <c r="V87" i="7" s="1"/>
  <c r="S88" i="7"/>
  <c r="U88" i="7" s="1"/>
  <c r="M89" i="7"/>
  <c r="P89" i="7"/>
  <c r="L90" i="7"/>
  <c r="O91" i="7"/>
  <c r="K91" i="7"/>
  <c r="Q89" i="7" l="1"/>
  <c r="N89" i="7"/>
  <c r="M90" i="7"/>
  <c r="P90" i="7"/>
  <c r="O92" i="7"/>
  <c r="K92" i="7"/>
  <c r="M91" i="7"/>
  <c r="L91" i="7"/>
  <c r="P91" i="7" s="1"/>
  <c r="Q91" i="7" l="1"/>
  <c r="R91" i="7" s="1"/>
  <c r="T91" i="7" s="1"/>
  <c r="V91" i="7" s="1"/>
  <c r="N91" i="7"/>
  <c r="Q90" i="7"/>
  <c r="N90" i="7"/>
  <c r="R89" i="7"/>
  <c r="T89" i="7" s="1"/>
  <c r="V89" i="7" s="1"/>
  <c r="S89" i="7"/>
  <c r="U89" i="7" s="1"/>
  <c r="S91" i="7"/>
  <c r="U91" i="7" s="1"/>
  <c r="K93" i="7"/>
  <c r="O93" i="7"/>
  <c r="L92" i="7"/>
  <c r="S90" i="7" l="1"/>
  <c r="U90" i="7" s="1"/>
  <c r="R90" i="7"/>
  <c r="M92" i="7"/>
  <c r="P92" i="7"/>
  <c r="L93" i="7"/>
  <c r="K94" i="7"/>
  <c r="O94" i="7"/>
  <c r="Q92" i="7" l="1"/>
  <c r="N92" i="7"/>
  <c r="T90" i="7"/>
  <c r="V90" i="7" s="1"/>
  <c r="M93" i="7"/>
  <c r="P93" i="7"/>
  <c r="M94" i="7"/>
  <c r="L94" i="7"/>
  <c r="P94" i="7" s="1"/>
  <c r="O95" i="7"/>
  <c r="K95" i="7"/>
  <c r="Q94" i="7" l="1"/>
  <c r="R94" i="7" s="1"/>
  <c r="T94" i="7" s="1"/>
  <c r="V94" i="7" s="1"/>
  <c r="N94" i="7"/>
  <c r="Q93" i="7"/>
  <c r="N93" i="7"/>
  <c r="R92" i="7"/>
  <c r="S92" i="7"/>
  <c r="U92" i="7" s="1"/>
  <c r="O96" i="7"/>
  <c r="K96" i="7"/>
  <c r="M95" i="7"/>
  <c r="L95" i="7"/>
  <c r="P95" i="7" s="1"/>
  <c r="S94" i="7" l="1"/>
  <c r="U94" i="7" s="1"/>
  <c r="Q95" i="7"/>
  <c r="R95" i="7" s="1"/>
  <c r="T95" i="7" s="1"/>
  <c r="V95" i="7" s="1"/>
  <c r="N95" i="7"/>
  <c r="T92" i="7"/>
  <c r="V92" i="7" s="1"/>
  <c r="R93" i="7"/>
  <c r="T93" i="7" s="1"/>
  <c r="V93" i="7" s="1"/>
  <c r="S93" i="7"/>
  <c r="U93" i="7" s="1"/>
  <c r="K97" i="7"/>
  <c r="O97" i="7"/>
  <c r="L96" i="7"/>
  <c r="P96" i="7" s="1"/>
  <c r="M96" i="7"/>
  <c r="S95" i="7" l="1"/>
  <c r="U95" i="7" s="1"/>
  <c r="Q96" i="7"/>
  <c r="R96" i="7" s="1"/>
  <c r="T96" i="7" s="1"/>
  <c r="V96" i="7" s="1"/>
  <c r="N96" i="7"/>
  <c r="O98" i="7"/>
  <c r="K98" i="7"/>
  <c r="L97" i="7"/>
  <c r="S96" i="7" l="1"/>
  <c r="U96" i="7" s="1"/>
  <c r="M97" i="7"/>
  <c r="P97" i="7"/>
  <c r="L98" i="7"/>
  <c r="O99" i="7"/>
  <c r="K99" i="7"/>
  <c r="Q97" i="7" l="1"/>
  <c r="N97" i="7"/>
  <c r="M98" i="7"/>
  <c r="P98" i="7"/>
  <c r="M99" i="7"/>
  <c r="L99" i="7"/>
  <c r="P99" i="7" s="1"/>
  <c r="K100" i="7"/>
  <c r="O100" i="7"/>
  <c r="Q99" i="7" l="1"/>
  <c r="R99" i="7" s="1"/>
  <c r="T99" i="7" s="1"/>
  <c r="V99" i="7" s="1"/>
  <c r="N99" i="7"/>
  <c r="Q98" i="7"/>
  <c r="N98" i="7"/>
  <c r="R97" i="7"/>
  <c r="T97" i="7" s="1"/>
  <c r="V97" i="7" s="1"/>
  <c r="S97" i="7"/>
  <c r="U97" i="7" s="1"/>
  <c r="O101" i="7"/>
  <c r="K101" i="7"/>
  <c r="L100" i="7"/>
  <c r="P100" i="7" s="1"/>
  <c r="M100" i="7"/>
  <c r="S99" i="7"/>
  <c r="U99" i="7" s="1"/>
  <c r="Q100" i="7" l="1"/>
  <c r="R100" i="7" s="1"/>
  <c r="N100" i="7"/>
  <c r="S98" i="7"/>
  <c r="U98" i="7" s="1"/>
  <c r="R98" i="7"/>
  <c r="T98" i="7" s="1"/>
  <c r="V98" i="7" s="1"/>
  <c r="L101" i="7"/>
  <c r="K102" i="7"/>
  <c r="O102" i="7"/>
  <c r="S100" i="7" l="1"/>
  <c r="U100" i="7" s="1"/>
  <c r="T100" i="7"/>
  <c r="V100" i="7" s="1"/>
  <c r="M101" i="7"/>
  <c r="P101" i="7"/>
  <c r="K103" i="7"/>
  <c r="O103" i="7"/>
  <c r="L102" i="7"/>
  <c r="P102" i="7" s="1"/>
  <c r="M102" i="7"/>
  <c r="Q102" i="7" l="1"/>
  <c r="R102" i="7" s="1"/>
  <c r="T102" i="7" s="1"/>
  <c r="V102" i="7" s="1"/>
  <c r="N102" i="7"/>
  <c r="Q101" i="7"/>
  <c r="N101" i="7"/>
  <c r="K104" i="7"/>
  <c r="O104" i="7"/>
  <c r="L103" i="7"/>
  <c r="S102" i="7" l="1"/>
  <c r="U102" i="7" s="1"/>
  <c r="S101" i="7"/>
  <c r="U101" i="7" s="1"/>
  <c r="R101" i="7"/>
  <c r="T101" i="7" s="1"/>
  <c r="V101" i="7" s="1"/>
  <c r="M103" i="7"/>
  <c r="P103" i="7"/>
  <c r="O105" i="7"/>
  <c r="K105" i="7"/>
  <c r="L104" i="7"/>
  <c r="Q103" i="7" l="1"/>
  <c r="N103" i="7"/>
  <c r="M104" i="7"/>
  <c r="P104" i="7"/>
  <c r="L105" i="7"/>
  <c r="K106" i="7"/>
  <c r="O106" i="7"/>
  <c r="Q104" i="7" l="1"/>
  <c r="N104" i="7"/>
  <c r="R103" i="7"/>
  <c r="T103" i="7" s="1"/>
  <c r="V103" i="7" s="1"/>
  <c r="S103" i="7"/>
  <c r="U103" i="7" s="1"/>
  <c r="M105" i="7"/>
  <c r="P105" i="7"/>
  <c r="K107" i="7"/>
  <c r="O107" i="7"/>
  <c r="L106" i="7"/>
  <c r="P106" i="7" s="1"/>
  <c r="M106" i="7"/>
  <c r="Q106" i="7" l="1"/>
  <c r="R106" i="7" s="1"/>
  <c r="T106" i="7" s="1"/>
  <c r="V106" i="7" s="1"/>
  <c r="N106" i="7"/>
  <c r="Q105" i="7"/>
  <c r="N105" i="7"/>
  <c r="S104" i="7"/>
  <c r="U104" i="7" s="1"/>
  <c r="R104" i="7"/>
  <c r="T104" i="7" s="1"/>
  <c r="V104" i="7" s="1"/>
  <c r="O108" i="7"/>
  <c r="K108" i="7"/>
  <c r="M107" i="7"/>
  <c r="L107" i="7"/>
  <c r="P107" i="7" s="1"/>
  <c r="S106" i="7" l="1"/>
  <c r="U106" i="7" s="1"/>
  <c r="Q107" i="7"/>
  <c r="R107" i="7" s="1"/>
  <c r="T107" i="7" s="1"/>
  <c r="V107" i="7" s="1"/>
  <c r="N107" i="7"/>
  <c r="S105" i="7"/>
  <c r="U105" i="7" s="1"/>
  <c r="R105" i="7"/>
  <c r="T105" i="7" s="1"/>
  <c r="V105" i="7" s="1"/>
  <c r="L108" i="7"/>
  <c r="P108" i="7" s="1"/>
  <c r="M108" i="7"/>
  <c r="K109" i="7"/>
  <c r="O109" i="7"/>
  <c r="S107" i="7" l="1"/>
  <c r="U107" i="7" s="1"/>
  <c r="Q108" i="7"/>
  <c r="R108" i="7" s="1"/>
  <c r="N108" i="7"/>
  <c r="O110" i="7"/>
  <c r="K110" i="7"/>
  <c r="L109" i="7"/>
  <c r="S108" i="7" l="1"/>
  <c r="U108" i="7" s="1"/>
  <c r="T108" i="7"/>
  <c r="V108" i="7" s="1"/>
  <c r="M109" i="7"/>
  <c r="P109" i="7"/>
  <c r="L110" i="7"/>
  <c r="O111" i="7"/>
  <c r="K111" i="7"/>
  <c r="Q109" i="7" l="1"/>
  <c r="N109" i="7"/>
  <c r="M110" i="7"/>
  <c r="P110" i="7"/>
  <c r="M111" i="7"/>
  <c r="L111" i="7"/>
  <c r="P111" i="7" s="1"/>
  <c r="O112" i="7"/>
  <c r="K112" i="7"/>
  <c r="Q111" i="7" l="1"/>
  <c r="R111" i="7" s="1"/>
  <c r="T111" i="7" s="1"/>
  <c r="V111" i="7" s="1"/>
  <c r="N111" i="7"/>
  <c r="Q110" i="7"/>
  <c r="N110" i="7"/>
  <c r="S109" i="7"/>
  <c r="U109" i="7" s="1"/>
  <c r="R109" i="7"/>
  <c r="T109" i="7" s="1"/>
  <c r="V109" i="7" s="1"/>
  <c r="L112" i="7"/>
  <c r="P112" i="7" s="1"/>
  <c r="M112" i="7"/>
  <c r="K113" i="7"/>
  <c r="O113" i="7"/>
  <c r="S111" i="7" l="1"/>
  <c r="U111" i="7" s="1"/>
  <c r="Q112" i="7"/>
  <c r="R112" i="7" s="1"/>
  <c r="T112" i="7" s="1"/>
  <c r="V112" i="7" s="1"/>
  <c r="N112" i="7"/>
  <c r="R110" i="7"/>
  <c r="T110" i="7" s="1"/>
  <c r="V110" i="7" s="1"/>
  <c r="S110" i="7"/>
  <c r="U110" i="7" s="1"/>
  <c r="K114" i="7"/>
  <c r="O114" i="7"/>
  <c r="L113" i="7"/>
  <c r="P113" i="7" s="1"/>
  <c r="M113" i="7"/>
  <c r="S112" i="7" l="1"/>
  <c r="U112" i="7" s="1"/>
  <c r="Q113" i="7"/>
  <c r="R113" i="7" s="1"/>
  <c r="T113" i="7" s="1"/>
  <c r="V113" i="7" s="1"/>
  <c r="N113" i="7"/>
  <c r="O115" i="7"/>
  <c r="K115" i="7"/>
  <c r="L114" i="7"/>
  <c r="S113" i="7" l="1"/>
  <c r="U113" i="7" s="1"/>
  <c r="M114" i="7"/>
  <c r="P114" i="7"/>
  <c r="M115" i="7"/>
  <c r="L115" i="7"/>
  <c r="P115" i="7" s="1"/>
  <c r="K116" i="7"/>
  <c r="O116" i="7"/>
  <c r="Q115" i="7" l="1"/>
  <c r="R115" i="7" s="1"/>
  <c r="T115" i="7" s="1"/>
  <c r="V115" i="7" s="1"/>
  <c r="N115" i="7"/>
  <c r="Q114" i="7"/>
  <c r="N114" i="7"/>
  <c r="O117" i="7"/>
  <c r="K117" i="7"/>
  <c r="L116" i="7"/>
  <c r="P116" i="7" s="1"/>
  <c r="M116" i="7"/>
  <c r="S115" i="7" l="1"/>
  <c r="U115" i="7" s="1"/>
  <c r="Q116" i="7"/>
  <c r="R116" i="7" s="1"/>
  <c r="N116" i="7"/>
  <c r="R114" i="7"/>
  <c r="S114" i="7"/>
  <c r="U114" i="7" s="1"/>
  <c r="L117" i="7"/>
  <c r="K118" i="7"/>
  <c r="O118" i="7"/>
  <c r="S116" i="7" l="1"/>
  <c r="U116" i="7" s="1"/>
  <c r="T114" i="7"/>
  <c r="V114" i="7" s="1"/>
  <c r="T116" i="7"/>
  <c r="V116" i="7" s="1"/>
  <c r="M117" i="7"/>
  <c r="P117" i="7"/>
  <c r="K119" i="7"/>
  <c r="O119" i="7"/>
  <c r="L118" i="7"/>
  <c r="P118" i="7" s="1"/>
  <c r="M118" i="7"/>
  <c r="Q118" i="7" l="1"/>
  <c r="R118" i="7" s="1"/>
  <c r="T118" i="7" s="1"/>
  <c r="V118" i="7" s="1"/>
  <c r="N118" i="7"/>
  <c r="Q117" i="7"/>
  <c r="N117" i="7"/>
  <c r="K120" i="7"/>
  <c r="O120" i="7"/>
  <c r="L119" i="7"/>
  <c r="P119" i="7" s="1"/>
  <c r="M119" i="7"/>
  <c r="S118" i="7" l="1"/>
  <c r="U118" i="7" s="1"/>
  <c r="Q119" i="7"/>
  <c r="R119" i="7" s="1"/>
  <c r="T119" i="7" s="1"/>
  <c r="V119" i="7" s="1"/>
  <c r="N119" i="7"/>
  <c r="S117" i="7"/>
  <c r="U117" i="7" s="1"/>
  <c r="R117" i="7"/>
  <c r="T117" i="7" s="1"/>
  <c r="V117" i="7" s="1"/>
  <c r="O121" i="7"/>
  <c r="K121" i="7"/>
  <c r="L120" i="7"/>
  <c r="S119" i="7" l="1"/>
  <c r="U119" i="7" s="1"/>
  <c r="M120" i="7"/>
  <c r="P120" i="7"/>
  <c r="L121" i="7"/>
  <c r="K122" i="7"/>
  <c r="O122" i="7"/>
  <c r="Q120" i="7" l="1"/>
  <c r="N120" i="7"/>
  <c r="M121" i="7"/>
  <c r="P121" i="7"/>
  <c r="K123" i="7"/>
  <c r="O123" i="7"/>
  <c r="L122" i="7"/>
  <c r="Q121" i="7" l="1"/>
  <c r="N121" i="7"/>
  <c r="S120" i="7"/>
  <c r="U120" i="7" s="1"/>
  <c r="R120" i="7"/>
  <c r="T120" i="7" s="1"/>
  <c r="V120" i="7" s="1"/>
  <c r="M122" i="7"/>
  <c r="P122" i="7"/>
  <c r="K124" i="7"/>
  <c r="O124" i="7"/>
  <c r="M123" i="7"/>
  <c r="L123" i="7"/>
  <c r="P123" i="7" s="1"/>
  <c r="Q123" i="7" l="1"/>
  <c r="R123" i="7" s="1"/>
  <c r="T123" i="7" s="1"/>
  <c r="V123" i="7" s="1"/>
  <c r="N123" i="7"/>
  <c r="Q122" i="7"/>
  <c r="N122" i="7"/>
  <c r="S121" i="7"/>
  <c r="U121" i="7" s="1"/>
  <c r="R121" i="7"/>
  <c r="T121" i="7" s="1"/>
  <c r="V121" i="7" s="1"/>
  <c r="K125" i="7"/>
  <c r="O125" i="7"/>
  <c r="L124" i="7"/>
  <c r="S123" i="7" l="1"/>
  <c r="U123" i="7" s="1"/>
  <c r="R122" i="7"/>
  <c r="S122" i="7"/>
  <c r="U122" i="7" s="1"/>
  <c r="M124" i="7"/>
  <c r="P124" i="7"/>
  <c r="K126" i="7"/>
  <c r="O126" i="7"/>
  <c r="L125" i="7"/>
  <c r="P125" i="7" s="1"/>
  <c r="M125" i="7"/>
  <c r="Q124" i="7" l="1"/>
  <c r="N124" i="7"/>
  <c r="T122" i="7"/>
  <c r="V122" i="7" s="1"/>
  <c r="Q125" i="7"/>
  <c r="R125" i="7" s="1"/>
  <c r="T125" i="7" s="1"/>
  <c r="V125" i="7" s="1"/>
  <c r="N125" i="7"/>
  <c r="K127" i="7"/>
  <c r="O127" i="7"/>
  <c r="L126" i="7"/>
  <c r="P126" i="7" s="1"/>
  <c r="M126" i="7"/>
  <c r="S125" i="7" l="1"/>
  <c r="U125" i="7" s="1"/>
  <c r="Q126" i="7"/>
  <c r="R126" i="7" s="1"/>
  <c r="T126" i="7" s="1"/>
  <c r="V126" i="7" s="1"/>
  <c r="N126" i="7"/>
  <c r="R124" i="7"/>
  <c r="S124" i="7"/>
  <c r="U124" i="7" s="1"/>
  <c r="O128" i="7"/>
  <c r="K128" i="7"/>
  <c r="M127" i="7"/>
  <c r="L127" i="7"/>
  <c r="P127" i="7" s="1"/>
  <c r="S126" i="7" l="1"/>
  <c r="U126" i="7" s="1"/>
  <c r="Q127" i="7"/>
  <c r="R127" i="7" s="1"/>
  <c r="T127" i="7" s="1"/>
  <c r="V127" i="7" s="1"/>
  <c r="N127" i="7"/>
  <c r="T124" i="7"/>
  <c r="V124" i="7" s="1"/>
  <c r="L128" i="7"/>
  <c r="P128" i="7" s="1"/>
  <c r="M128" i="7"/>
  <c r="K129" i="7"/>
  <c r="O129" i="7"/>
  <c r="S127" i="7" l="1"/>
  <c r="U127" i="7" s="1"/>
  <c r="Q128" i="7"/>
  <c r="R128" i="7" s="1"/>
  <c r="T128" i="7" s="1"/>
  <c r="V128" i="7" s="1"/>
  <c r="N128" i="7"/>
  <c r="K130" i="7"/>
  <c r="O130" i="7"/>
  <c r="L129" i="7"/>
  <c r="S128" i="7" l="1"/>
  <c r="U128" i="7" s="1"/>
  <c r="M129" i="7"/>
  <c r="P129" i="7"/>
  <c r="O131" i="7"/>
  <c r="K131" i="7"/>
  <c r="L130" i="7"/>
  <c r="Q129" i="7" l="1"/>
  <c r="N129" i="7"/>
  <c r="M130" i="7"/>
  <c r="P130" i="7"/>
  <c r="M131" i="7"/>
  <c r="L131" i="7"/>
  <c r="P131" i="7" s="1"/>
  <c r="K132" i="7"/>
  <c r="O132" i="7"/>
  <c r="Q131" i="7" l="1"/>
  <c r="R131" i="7" s="1"/>
  <c r="T131" i="7" s="1"/>
  <c r="V131" i="7" s="1"/>
  <c r="N131" i="7"/>
  <c r="Q130" i="7"/>
  <c r="N130" i="7"/>
  <c r="S129" i="7"/>
  <c r="U129" i="7" s="1"/>
  <c r="R129" i="7"/>
  <c r="T129" i="7" s="1"/>
  <c r="V129" i="7" s="1"/>
  <c r="O133" i="7"/>
  <c r="K133" i="7"/>
  <c r="L132" i="7"/>
  <c r="P132" i="7" s="1"/>
  <c r="M132" i="7"/>
  <c r="S131" i="7" l="1"/>
  <c r="U131" i="7" s="1"/>
  <c r="Q132" i="7"/>
  <c r="R132" i="7" s="1"/>
  <c r="N132" i="7"/>
  <c r="R130" i="7"/>
  <c r="T130" i="7" s="1"/>
  <c r="V130" i="7" s="1"/>
  <c r="S130" i="7"/>
  <c r="U130" i="7" s="1"/>
  <c r="L133" i="7"/>
  <c r="K134" i="7"/>
  <c r="O134" i="7"/>
  <c r="S132" i="7" l="1"/>
  <c r="U132" i="7" s="1"/>
  <c r="T132" i="7"/>
  <c r="V132" i="7" s="1"/>
  <c r="M133" i="7"/>
  <c r="P133" i="7"/>
  <c r="K135" i="7"/>
  <c r="O135" i="7"/>
  <c r="L134" i="7"/>
  <c r="P134" i="7" s="1"/>
  <c r="M134" i="7"/>
  <c r="Q134" i="7" l="1"/>
  <c r="R134" i="7" s="1"/>
  <c r="T134" i="7" s="1"/>
  <c r="V134" i="7" s="1"/>
  <c r="N134" i="7"/>
  <c r="Q133" i="7"/>
  <c r="N133" i="7"/>
  <c r="K136" i="7"/>
  <c r="O136" i="7"/>
  <c r="L135" i="7"/>
  <c r="S134" i="7" l="1"/>
  <c r="U134" i="7" s="1"/>
  <c r="S133" i="7"/>
  <c r="U133" i="7" s="1"/>
  <c r="R133" i="7"/>
  <c r="T133" i="7" s="1"/>
  <c r="V133" i="7" s="1"/>
  <c r="M135" i="7"/>
  <c r="P135" i="7"/>
  <c r="K137" i="7"/>
  <c r="O137" i="7"/>
  <c r="L136" i="7"/>
  <c r="P136" i="7" s="1"/>
  <c r="M136" i="7"/>
  <c r="Q136" i="7" l="1"/>
  <c r="R136" i="7" s="1"/>
  <c r="T136" i="7" s="1"/>
  <c r="V136" i="7" s="1"/>
  <c r="N136" i="7"/>
  <c r="Q135" i="7"/>
  <c r="N135" i="7"/>
  <c r="K138" i="7"/>
  <c r="O138" i="7"/>
  <c r="L137" i="7"/>
  <c r="S136" i="7" l="1"/>
  <c r="U136" i="7" s="1"/>
  <c r="S135" i="7"/>
  <c r="U135" i="7" s="1"/>
  <c r="R135" i="7"/>
  <c r="T135" i="7" s="1"/>
  <c r="V135" i="7" s="1"/>
  <c r="M137" i="7"/>
  <c r="P137" i="7"/>
  <c r="O139" i="7"/>
  <c r="K139" i="7"/>
  <c r="L138" i="7"/>
  <c r="Q137" i="7" l="1"/>
  <c r="N137" i="7"/>
  <c r="M138" i="7"/>
  <c r="P138" i="7"/>
  <c r="M139" i="7"/>
  <c r="L139" i="7"/>
  <c r="P139" i="7" s="1"/>
  <c r="K140" i="7"/>
  <c r="O140" i="7"/>
  <c r="Q139" i="7" l="1"/>
  <c r="R139" i="7" s="1"/>
  <c r="T139" i="7" s="1"/>
  <c r="V139" i="7" s="1"/>
  <c r="N139" i="7"/>
  <c r="Q138" i="7"/>
  <c r="N138" i="7"/>
  <c r="R137" i="7"/>
  <c r="T137" i="7" s="1"/>
  <c r="V137" i="7" s="1"/>
  <c r="S137" i="7"/>
  <c r="U137" i="7" s="1"/>
  <c r="K141" i="7"/>
  <c r="O141" i="7"/>
  <c r="L140" i="7"/>
  <c r="P140" i="7" s="1"/>
  <c r="M140" i="7"/>
  <c r="S139" i="7" l="1"/>
  <c r="U139" i="7" s="1"/>
  <c r="Q140" i="7"/>
  <c r="R140" i="7" s="1"/>
  <c r="N140" i="7"/>
  <c r="R138" i="7"/>
  <c r="T138" i="7" s="1"/>
  <c r="V138" i="7" s="1"/>
  <c r="S138" i="7"/>
  <c r="U138" i="7" s="1"/>
  <c r="K142" i="7"/>
  <c r="O142" i="7"/>
  <c r="L141" i="7"/>
  <c r="S140" i="7" l="1"/>
  <c r="U140" i="7" s="1"/>
  <c r="T140" i="7"/>
  <c r="V140" i="7" s="1"/>
  <c r="M141" i="7"/>
  <c r="P141" i="7"/>
  <c r="O143" i="7"/>
  <c r="K143" i="7"/>
  <c r="L142" i="7"/>
  <c r="Q141" i="7" l="1"/>
  <c r="N141" i="7"/>
  <c r="M142" i="7"/>
  <c r="P142" i="7"/>
  <c r="M143" i="7"/>
  <c r="L143" i="7"/>
  <c r="P143" i="7" s="1"/>
  <c r="O144" i="7"/>
  <c r="K144" i="7"/>
  <c r="Q142" i="7" l="1"/>
  <c r="N142" i="7"/>
  <c r="S141" i="7"/>
  <c r="U141" i="7" s="1"/>
  <c r="R141" i="7"/>
  <c r="T141" i="7" s="1"/>
  <c r="V141" i="7" s="1"/>
  <c r="Q143" i="7"/>
  <c r="R143" i="7" s="1"/>
  <c r="T143" i="7" s="1"/>
  <c r="V143" i="7" s="1"/>
  <c r="N143" i="7"/>
  <c r="L144" i="7"/>
  <c r="P144" i="7" s="1"/>
  <c r="M144" i="7"/>
  <c r="K145" i="7"/>
  <c r="O145" i="7"/>
  <c r="S143" i="7" l="1"/>
  <c r="U143" i="7" s="1"/>
  <c r="Q144" i="7"/>
  <c r="R144" i="7" s="1"/>
  <c r="T144" i="7" s="1"/>
  <c r="V144" i="7" s="1"/>
  <c r="N144" i="7"/>
  <c r="R142" i="7"/>
  <c r="T142" i="7" s="1"/>
  <c r="V142" i="7" s="1"/>
  <c r="S142" i="7"/>
  <c r="U142" i="7" s="1"/>
  <c r="K146" i="7"/>
  <c r="O146" i="7"/>
  <c r="L145" i="7"/>
  <c r="S144" i="7" l="1"/>
  <c r="U144" i="7" s="1"/>
  <c r="M145" i="7"/>
  <c r="P145" i="7"/>
  <c r="O147" i="7"/>
  <c r="K147" i="7"/>
  <c r="L146" i="7"/>
  <c r="Q145" i="7" l="1"/>
  <c r="N145" i="7"/>
  <c r="M146" i="7"/>
  <c r="P146" i="7"/>
  <c r="M147" i="7"/>
  <c r="L147" i="7"/>
  <c r="P147" i="7" s="1"/>
  <c r="K148" i="7"/>
  <c r="O148" i="7"/>
  <c r="Q147" i="7" l="1"/>
  <c r="R147" i="7" s="1"/>
  <c r="T147" i="7" s="1"/>
  <c r="V147" i="7" s="1"/>
  <c r="N147" i="7"/>
  <c r="Q146" i="7"/>
  <c r="N146" i="7"/>
  <c r="S145" i="7"/>
  <c r="U145" i="7" s="1"/>
  <c r="R145" i="7"/>
  <c r="T145" i="7" s="1"/>
  <c r="V145" i="7" s="1"/>
  <c r="O149" i="7"/>
  <c r="K149" i="7"/>
  <c r="L148" i="7"/>
  <c r="P148" i="7" s="1"/>
  <c r="M148" i="7"/>
  <c r="S147" i="7" l="1"/>
  <c r="U147" i="7" s="1"/>
  <c r="Q148" i="7"/>
  <c r="R148" i="7" s="1"/>
  <c r="N148" i="7"/>
  <c r="R146" i="7"/>
  <c r="S146" i="7"/>
  <c r="U146" i="7" s="1"/>
  <c r="L149" i="7"/>
  <c r="O150" i="7"/>
  <c r="K150" i="7"/>
  <c r="S148" i="7" l="1"/>
  <c r="U148" i="7" s="1"/>
  <c r="T146" i="7"/>
  <c r="V146" i="7" s="1"/>
  <c r="T148" i="7"/>
  <c r="V148" i="7" s="1"/>
  <c r="M149" i="7"/>
  <c r="P149" i="7"/>
  <c r="L150" i="7"/>
  <c r="K151" i="7"/>
  <c r="O151" i="7"/>
  <c r="Q149" i="7" l="1"/>
  <c r="N149" i="7"/>
  <c r="M150" i="7"/>
  <c r="P150" i="7"/>
  <c r="K152" i="7"/>
  <c r="O152" i="7"/>
  <c r="L151" i="7"/>
  <c r="Q150" i="7" l="1"/>
  <c r="N150" i="7"/>
  <c r="S149" i="7"/>
  <c r="U149" i="7" s="1"/>
  <c r="R149" i="7"/>
  <c r="T149" i="7" s="1"/>
  <c r="V149" i="7" s="1"/>
  <c r="M151" i="7"/>
  <c r="P151" i="7"/>
  <c r="K153" i="7"/>
  <c r="O153" i="7"/>
  <c r="L152" i="7"/>
  <c r="Q151" i="7" l="1"/>
  <c r="N151" i="7"/>
  <c r="R150" i="7"/>
  <c r="T150" i="7" s="1"/>
  <c r="V150" i="7" s="1"/>
  <c r="S150" i="7"/>
  <c r="U150" i="7" s="1"/>
  <c r="M152" i="7"/>
  <c r="P152" i="7"/>
  <c r="O154" i="7"/>
  <c r="K154" i="7"/>
  <c r="L153" i="7"/>
  <c r="Q152" i="7" l="1"/>
  <c r="N152" i="7"/>
  <c r="R151" i="7"/>
  <c r="T151" i="7" s="1"/>
  <c r="V151" i="7" s="1"/>
  <c r="S151" i="7"/>
  <c r="U151" i="7" s="1"/>
  <c r="M153" i="7"/>
  <c r="P153" i="7"/>
  <c r="L154" i="7"/>
  <c r="O155" i="7"/>
  <c r="K155" i="7"/>
  <c r="Q153" i="7" l="1"/>
  <c r="N153" i="7"/>
  <c r="S152" i="7"/>
  <c r="U152" i="7" s="1"/>
  <c r="R152" i="7"/>
  <c r="T152" i="7" s="1"/>
  <c r="V152" i="7" s="1"/>
  <c r="M154" i="7"/>
  <c r="P154" i="7"/>
  <c r="M155" i="7"/>
  <c r="L155" i="7"/>
  <c r="P155" i="7" s="1"/>
  <c r="K156" i="7"/>
  <c r="O156" i="7"/>
  <c r="Q154" i="7" l="1"/>
  <c r="N154" i="7"/>
  <c r="R153" i="7"/>
  <c r="T153" i="7" s="1"/>
  <c r="V153" i="7" s="1"/>
  <c r="S153" i="7"/>
  <c r="U153" i="7" s="1"/>
  <c r="Q155" i="7"/>
  <c r="R155" i="7" s="1"/>
  <c r="T155" i="7" s="1"/>
  <c r="V155" i="7" s="1"/>
  <c r="N155" i="7"/>
  <c r="L156" i="7"/>
  <c r="P156" i="7" s="1"/>
  <c r="M156" i="7"/>
  <c r="K157" i="7"/>
  <c r="O157" i="7"/>
  <c r="S155" i="7" l="1"/>
  <c r="U155" i="7" s="1"/>
  <c r="Q156" i="7"/>
  <c r="R156" i="7" s="1"/>
  <c r="T156" i="7" s="1"/>
  <c r="V156" i="7" s="1"/>
  <c r="N156" i="7"/>
  <c r="S154" i="7"/>
  <c r="U154" i="7" s="1"/>
  <c r="R154" i="7"/>
  <c r="T154" i="7" s="1"/>
  <c r="V154" i="7" s="1"/>
  <c r="K158" i="7"/>
  <c r="O158" i="7"/>
  <c r="L157" i="7"/>
  <c r="P157" i="7" s="1"/>
  <c r="M157" i="7"/>
  <c r="Q157" i="7" l="1"/>
  <c r="R157" i="7" s="1"/>
  <c r="T157" i="7" s="1"/>
  <c r="V157" i="7" s="1"/>
  <c r="N157" i="7"/>
  <c r="S156" i="7"/>
  <c r="U156" i="7" s="1"/>
  <c r="K159" i="7"/>
  <c r="O159" i="7"/>
  <c r="L158" i="7"/>
  <c r="S157" i="7" l="1"/>
  <c r="U157" i="7" s="1"/>
  <c r="M158" i="7"/>
  <c r="P158" i="7"/>
  <c r="O160" i="7"/>
  <c r="K160" i="7"/>
  <c r="M159" i="7"/>
  <c r="L159" i="7"/>
  <c r="P159" i="7" s="1"/>
  <c r="Q159" i="7" l="1"/>
  <c r="R159" i="7" s="1"/>
  <c r="T159" i="7" s="1"/>
  <c r="V159" i="7" s="1"/>
  <c r="N159" i="7"/>
  <c r="Q158" i="7"/>
  <c r="N158" i="7"/>
  <c r="L160" i="7"/>
  <c r="P160" i="7" s="1"/>
  <c r="M160" i="7"/>
  <c r="K161" i="7"/>
  <c r="O161" i="7"/>
  <c r="S159" i="7" l="1"/>
  <c r="U159" i="7" s="1"/>
  <c r="Q160" i="7"/>
  <c r="R160" i="7" s="1"/>
  <c r="T160" i="7" s="1"/>
  <c r="V160" i="7" s="1"/>
  <c r="N160" i="7"/>
  <c r="R158" i="7"/>
  <c r="S158" i="7"/>
  <c r="U158" i="7" s="1"/>
  <c r="O162" i="7"/>
  <c r="K162" i="7"/>
  <c r="S160" i="7"/>
  <c r="U160" i="7" s="1"/>
  <c r="L161" i="7"/>
  <c r="T158" i="7" l="1"/>
  <c r="V158" i="7" s="1"/>
  <c r="M161" i="7"/>
  <c r="P161" i="7"/>
  <c r="L162" i="7"/>
  <c r="O163" i="7"/>
  <c r="K163" i="7"/>
  <c r="Q161" i="7" l="1"/>
  <c r="N161" i="7"/>
  <c r="M162" i="7"/>
  <c r="P162" i="7"/>
  <c r="M163" i="7"/>
  <c r="L163" i="7"/>
  <c r="P163" i="7" s="1"/>
  <c r="K164" i="7"/>
  <c r="O164" i="7"/>
  <c r="Q163" i="7" l="1"/>
  <c r="R163" i="7" s="1"/>
  <c r="T163" i="7" s="1"/>
  <c r="V163" i="7" s="1"/>
  <c r="N163" i="7"/>
  <c r="Q162" i="7"/>
  <c r="N162" i="7"/>
  <c r="R161" i="7"/>
  <c r="T161" i="7" s="1"/>
  <c r="V161" i="7" s="1"/>
  <c r="S161" i="7"/>
  <c r="U161" i="7" s="1"/>
  <c r="L164" i="7"/>
  <c r="P164" i="7" s="1"/>
  <c r="M164" i="7"/>
  <c r="O165" i="7"/>
  <c r="K165" i="7"/>
  <c r="S163" i="7"/>
  <c r="U163" i="7" s="1"/>
  <c r="Q164" i="7" l="1"/>
  <c r="R164" i="7" s="1"/>
  <c r="T164" i="7" s="1"/>
  <c r="V164" i="7" s="1"/>
  <c r="N164" i="7"/>
  <c r="R162" i="7"/>
  <c r="S162" i="7"/>
  <c r="U162" i="7" s="1"/>
  <c r="L165" i="7"/>
  <c r="P165" i="7" s="1"/>
  <c r="M165" i="7"/>
  <c r="K166" i="7"/>
  <c r="O166" i="7"/>
  <c r="S164" i="7" l="1"/>
  <c r="U164" i="7" s="1"/>
  <c r="Q165" i="7"/>
  <c r="R165" i="7" s="1"/>
  <c r="T165" i="7" s="1"/>
  <c r="V165" i="7" s="1"/>
  <c r="N165" i="7"/>
  <c r="T162" i="7"/>
  <c r="V162" i="7" s="1"/>
  <c r="O167" i="7"/>
  <c r="K167" i="7"/>
  <c r="S165" i="7"/>
  <c r="U165" i="7" s="1"/>
  <c r="L166" i="7"/>
  <c r="M166" i="7" l="1"/>
  <c r="P166" i="7"/>
  <c r="L167" i="7"/>
  <c r="K168" i="7"/>
  <c r="O168" i="7"/>
  <c r="Q166" i="7" l="1"/>
  <c r="N166" i="7"/>
  <c r="M167" i="7"/>
  <c r="P167" i="7"/>
  <c r="O169" i="7"/>
  <c r="K169" i="7"/>
  <c r="L168" i="7"/>
  <c r="Q167" i="7" l="1"/>
  <c r="N167" i="7"/>
  <c r="R166" i="7"/>
  <c r="T166" i="7" s="1"/>
  <c r="V166" i="7" s="1"/>
  <c r="S166" i="7"/>
  <c r="U166" i="7" s="1"/>
  <c r="M168" i="7"/>
  <c r="P168" i="7"/>
  <c r="L169" i="7"/>
  <c r="K170" i="7"/>
  <c r="O170" i="7"/>
  <c r="Q168" i="7" l="1"/>
  <c r="N168" i="7"/>
  <c r="R167" i="7"/>
  <c r="T167" i="7" s="1"/>
  <c r="V167" i="7" s="1"/>
  <c r="S167" i="7"/>
  <c r="U167" i="7" s="1"/>
  <c r="M169" i="7"/>
  <c r="P169" i="7"/>
  <c r="Q82" i="9"/>
  <c r="P82" i="9" s="1"/>
  <c r="S82" i="9" s="1"/>
  <c r="O171" i="7"/>
  <c r="K171" i="7"/>
  <c r="L170" i="7"/>
  <c r="Q169" i="7" l="1"/>
  <c r="N169" i="7"/>
  <c r="R168" i="7"/>
  <c r="T168" i="7" s="1"/>
  <c r="V168" i="7" s="1"/>
  <c r="S168" i="7"/>
  <c r="U168" i="7" s="1"/>
  <c r="M170" i="7"/>
  <c r="P170" i="7"/>
  <c r="R82" i="9"/>
  <c r="M171" i="7"/>
  <c r="L171" i="7"/>
  <c r="P171" i="7" s="1"/>
  <c r="K172" i="7"/>
  <c r="O172" i="7"/>
  <c r="Q171" i="7" l="1"/>
  <c r="R171" i="7" s="1"/>
  <c r="T171" i="7" s="1"/>
  <c r="V171" i="7" s="1"/>
  <c r="N171" i="7"/>
  <c r="Q170" i="7"/>
  <c r="N170" i="7"/>
  <c r="S169" i="7"/>
  <c r="U169" i="7" s="1"/>
  <c r="R169" i="7"/>
  <c r="T169" i="7" s="1"/>
  <c r="V169" i="7" s="1"/>
  <c r="Q83" i="9"/>
  <c r="P83" i="9" s="1"/>
  <c r="S83" i="9" s="1"/>
  <c r="L172" i="7"/>
  <c r="P172" i="7" s="1"/>
  <c r="M172" i="7"/>
  <c r="K173" i="7"/>
  <c r="O173" i="7"/>
  <c r="S171" i="7"/>
  <c r="U171" i="7" s="1"/>
  <c r="Q172" i="7" l="1"/>
  <c r="R172" i="7" s="1"/>
  <c r="T172" i="7" s="1"/>
  <c r="V172" i="7" s="1"/>
  <c r="N172" i="7"/>
  <c r="S170" i="7"/>
  <c r="U170" i="7" s="1"/>
  <c r="R170" i="7"/>
  <c r="T170" i="7" s="1"/>
  <c r="V170" i="7" s="1"/>
  <c r="R83" i="9"/>
  <c r="O174" i="7"/>
  <c r="K174" i="7"/>
  <c r="S172" i="7"/>
  <c r="U172" i="7" s="1"/>
  <c r="L173" i="7"/>
  <c r="M173" i="7" l="1"/>
  <c r="P173" i="7"/>
  <c r="Q84" i="9"/>
  <c r="P84" i="9" s="1"/>
  <c r="S84" i="9" s="1"/>
  <c r="L174" i="7"/>
  <c r="K175" i="7"/>
  <c r="O175" i="7"/>
  <c r="Q173" i="7" l="1"/>
  <c r="N173" i="7"/>
  <c r="M174" i="7"/>
  <c r="P174" i="7"/>
  <c r="R84" i="9"/>
  <c r="O176" i="7"/>
  <c r="K176" i="7"/>
  <c r="M175" i="7"/>
  <c r="L175" i="7"/>
  <c r="P175" i="7" s="1"/>
  <c r="Q175" i="7" l="1"/>
  <c r="R175" i="7" s="1"/>
  <c r="T175" i="7" s="1"/>
  <c r="V175" i="7" s="1"/>
  <c r="N175" i="7"/>
  <c r="Q174" i="7"/>
  <c r="N174" i="7"/>
  <c r="R173" i="7"/>
  <c r="T173" i="7" s="1"/>
  <c r="V173" i="7" s="1"/>
  <c r="S173" i="7"/>
  <c r="U173" i="7" s="1"/>
  <c r="R85" i="9"/>
  <c r="Q85" i="9"/>
  <c r="P85" i="9" s="1"/>
  <c r="S85" i="9" s="1"/>
  <c r="S175" i="7"/>
  <c r="U175" i="7" s="1"/>
  <c r="L176" i="7"/>
  <c r="K177" i="7"/>
  <c r="O177" i="7"/>
  <c r="R174" i="7" l="1"/>
  <c r="S174" i="7"/>
  <c r="U174" i="7" s="1"/>
  <c r="M176" i="7"/>
  <c r="P176" i="7"/>
  <c r="R86" i="9"/>
  <c r="Q86" i="9"/>
  <c r="P86" i="9" s="1"/>
  <c r="S86" i="9" s="1"/>
  <c r="O178" i="7"/>
  <c r="K178" i="7"/>
  <c r="L177" i="7"/>
  <c r="Q176" i="7" l="1"/>
  <c r="N176" i="7"/>
  <c r="T174" i="7"/>
  <c r="V174" i="7" s="1"/>
  <c r="M177" i="7"/>
  <c r="P177" i="7"/>
  <c r="R87" i="9"/>
  <c r="Q87" i="9"/>
  <c r="P87" i="9" s="1"/>
  <c r="S87" i="9" s="1"/>
  <c r="L178" i="7"/>
  <c r="O179" i="7"/>
  <c r="K179" i="7"/>
  <c r="Q177" i="7" l="1"/>
  <c r="N177" i="7"/>
  <c r="R176" i="7"/>
  <c r="T176" i="7" s="1"/>
  <c r="V176" i="7" s="1"/>
  <c r="S176" i="7"/>
  <c r="U176" i="7" s="1"/>
  <c r="M178" i="7"/>
  <c r="P178" i="7"/>
  <c r="Q88" i="9"/>
  <c r="P88" i="9" s="1"/>
  <c r="S88" i="9" s="1"/>
  <c r="M179" i="7"/>
  <c r="L179" i="7"/>
  <c r="P179" i="7" s="1"/>
  <c r="K180" i="7"/>
  <c r="O180" i="7"/>
  <c r="Q179" i="7" l="1"/>
  <c r="R179" i="7" s="1"/>
  <c r="T179" i="7" s="1"/>
  <c r="V179" i="7" s="1"/>
  <c r="N179" i="7"/>
  <c r="Q178" i="7"/>
  <c r="N178" i="7"/>
  <c r="S177" i="7"/>
  <c r="U177" i="7" s="1"/>
  <c r="R177" i="7"/>
  <c r="T177" i="7" s="1"/>
  <c r="V177" i="7" s="1"/>
  <c r="R88" i="9"/>
  <c r="L180" i="7"/>
  <c r="P180" i="7" s="1"/>
  <c r="M180" i="7"/>
  <c r="O181" i="7"/>
  <c r="K181" i="7"/>
  <c r="S179" i="7" l="1"/>
  <c r="U179" i="7" s="1"/>
  <c r="Q180" i="7"/>
  <c r="R180" i="7" s="1"/>
  <c r="T180" i="7" s="1"/>
  <c r="V180" i="7" s="1"/>
  <c r="N180" i="7"/>
  <c r="S178" i="7"/>
  <c r="U178" i="7" s="1"/>
  <c r="R178" i="7"/>
  <c r="R89" i="9"/>
  <c r="Q89" i="9"/>
  <c r="P89" i="9" s="1"/>
  <c r="S89" i="9" s="1"/>
  <c r="L181" i="7"/>
  <c r="P181" i="7" s="1"/>
  <c r="M181" i="7"/>
  <c r="K182" i="7"/>
  <c r="O182" i="7"/>
  <c r="S180" i="7" l="1"/>
  <c r="U180" i="7" s="1"/>
  <c r="T178" i="7"/>
  <c r="V178" i="7" s="1"/>
  <c r="Q181" i="7"/>
  <c r="R181" i="7" s="1"/>
  <c r="T181" i="7" s="1"/>
  <c r="V181" i="7" s="1"/>
  <c r="N181" i="7"/>
  <c r="Q90" i="9"/>
  <c r="P90" i="9" s="1"/>
  <c r="S90" i="9" s="1"/>
  <c r="K183" i="7"/>
  <c r="O183" i="7"/>
  <c r="L182" i="7"/>
  <c r="S181" i="7" l="1"/>
  <c r="U181" i="7" s="1"/>
  <c r="M182" i="7"/>
  <c r="P182" i="7"/>
  <c r="R90" i="9"/>
  <c r="K184" i="7"/>
  <c r="O184" i="7"/>
  <c r="L183" i="7"/>
  <c r="Q182" i="7" l="1"/>
  <c r="N182" i="7"/>
  <c r="M183" i="7"/>
  <c r="P183" i="7"/>
  <c r="R91" i="9"/>
  <c r="Q91" i="9"/>
  <c r="P91" i="9" s="1"/>
  <c r="S91" i="9" s="1"/>
  <c r="K185" i="7"/>
  <c r="O185" i="7"/>
  <c r="L184" i="7"/>
  <c r="P184" i="7" s="1"/>
  <c r="M184" i="7"/>
  <c r="Q184" i="7" l="1"/>
  <c r="R184" i="7" s="1"/>
  <c r="N184" i="7"/>
  <c r="Q183" i="7"/>
  <c r="N183" i="7"/>
  <c r="S182" i="7"/>
  <c r="U182" i="7" s="1"/>
  <c r="R182" i="7"/>
  <c r="T182" i="7" s="1"/>
  <c r="V182" i="7" s="1"/>
  <c r="R92" i="9"/>
  <c r="Q92" i="9"/>
  <c r="P92" i="9" s="1"/>
  <c r="S92" i="9" s="1"/>
  <c r="K186" i="7"/>
  <c r="O186" i="7"/>
  <c r="L185" i="7"/>
  <c r="P185" i="7" s="1"/>
  <c r="M185" i="7"/>
  <c r="S184" i="7" l="1"/>
  <c r="U184" i="7" s="1"/>
  <c r="Q185" i="7"/>
  <c r="R185" i="7" s="1"/>
  <c r="T185" i="7" s="1"/>
  <c r="V185" i="7" s="1"/>
  <c r="N185" i="7"/>
  <c r="S183" i="7"/>
  <c r="U183" i="7" s="1"/>
  <c r="R183" i="7"/>
  <c r="T183" i="7" s="1"/>
  <c r="V183" i="7" s="1"/>
  <c r="T184" i="7"/>
  <c r="V184" i="7" s="1"/>
  <c r="Q93" i="9"/>
  <c r="P93" i="9" s="1"/>
  <c r="S93" i="9" s="1"/>
  <c r="K187" i="7"/>
  <c r="O187" i="7"/>
  <c r="L186" i="7"/>
  <c r="S185" i="7" l="1"/>
  <c r="U185" i="7" s="1"/>
  <c r="M186" i="7"/>
  <c r="P186" i="7"/>
  <c r="R93" i="9"/>
  <c r="K188" i="7"/>
  <c r="O188" i="7"/>
  <c r="M187" i="7"/>
  <c r="L187" i="7"/>
  <c r="P187" i="7" s="1"/>
  <c r="Q187" i="7" l="1"/>
  <c r="R187" i="7" s="1"/>
  <c r="T187" i="7" s="1"/>
  <c r="V187" i="7" s="1"/>
  <c r="N187" i="7"/>
  <c r="Q186" i="7"/>
  <c r="N186" i="7"/>
  <c r="R94" i="9"/>
  <c r="Q94" i="9"/>
  <c r="P94" i="9" s="1"/>
  <c r="S94" i="9" s="1"/>
  <c r="K189" i="7"/>
  <c r="O189" i="7"/>
  <c r="L188" i="7"/>
  <c r="P188" i="7" s="1"/>
  <c r="M188" i="7"/>
  <c r="S187" i="7" l="1"/>
  <c r="U187" i="7" s="1"/>
  <c r="Q188" i="7"/>
  <c r="R188" i="7" s="1"/>
  <c r="T188" i="7" s="1"/>
  <c r="V188" i="7" s="1"/>
  <c r="N188" i="7"/>
  <c r="S186" i="7"/>
  <c r="U186" i="7" s="1"/>
  <c r="R186" i="7"/>
  <c r="T186" i="7" s="1"/>
  <c r="V186" i="7" s="1"/>
  <c r="R95" i="9"/>
  <c r="Q95" i="9"/>
  <c r="P95" i="9" s="1"/>
  <c r="S95" i="9" s="1"/>
  <c r="S188" i="7"/>
  <c r="U188" i="7" s="1"/>
  <c r="L189" i="7"/>
  <c r="P189" i="7" l="1"/>
  <c r="Q96" i="9"/>
  <c r="P96" i="9" s="1"/>
  <c r="S96" i="9" s="1"/>
  <c r="M189" i="7"/>
  <c r="N189" i="7" s="1"/>
  <c r="R96" i="9" l="1"/>
  <c r="Q189" i="7"/>
  <c r="R189" i="7" s="1"/>
  <c r="T189" i="7" l="1"/>
  <c r="Q97" i="9"/>
  <c r="P97" i="9" s="1"/>
  <c r="S97" i="9" s="1"/>
  <c r="S189" i="7"/>
  <c r="V189" i="7" l="1"/>
  <c r="R97" i="9"/>
  <c r="U189" i="7"/>
  <c r="R98" i="9" l="1"/>
  <c r="Q98" i="9"/>
  <c r="P98" i="9" s="1"/>
  <c r="S98" i="9" s="1"/>
  <c r="Q99" i="9" l="1"/>
  <c r="P99" i="9" s="1"/>
  <c r="S99" i="9" s="1"/>
  <c r="R99" i="9" l="1"/>
  <c r="R100" i="9" l="1"/>
  <c r="Q100" i="9"/>
  <c r="P100" i="9" s="1"/>
  <c r="S100" i="9" s="1"/>
  <c r="R101" i="9" l="1"/>
  <c r="Q101" i="9"/>
  <c r="P101" i="9" s="1"/>
  <c r="S101" i="9" s="1"/>
  <c r="Q102" i="9" l="1"/>
  <c r="P102" i="9" s="1"/>
  <c r="S102" i="9" s="1"/>
  <c r="R102" i="9" l="1"/>
  <c r="R103" i="9" l="1"/>
  <c r="Q103" i="9"/>
  <c r="P103" i="9" s="1"/>
  <c r="S103" i="9" s="1"/>
  <c r="Q104" i="9" l="1"/>
  <c r="P104" i="9" s="1"/>
  <c r="S104" i="9" s="1"/>
  <c r="R104" i="9" l="1"/>
  <c r="Q105" i="9" l="1"/>
  <c r="P105" i="9" s="1"/>
  <c r="S105" i="9" s="1"/>
  <c r="R105" i="9" l="1"/>
  <c r="R106" i="9" l="1"/>
  <c r="Q106" i="9"/>
  <c r="P106" i="9" s="1"/>
  <c r="S106" i="9" s="1"/>
  <c r="Q107" i="9" l="1"/>
  <c r="P107" i="9" s="1"/>
  <c r="S107" i="9" s="1"/>
  <c r="R107" i="9" l="1"/>
  <c r="R108" i="9" l="1"/>
  <c r="Q108" i="9"/>
  <c r="P108" i="9" s="1"/>
  <c r="S108" i="9" s="1"/>
  <c r="R109" i="9" l="1"/>
  <c r="Q109" i="9"/>
  <c r="P109" i="9" s="1"/>
  <c r="S109" i="9" s="1"/>
  <c r="Q110" i="9" l="1"/>
  <c r="P110" i="9" s="1"/>
  <c r="S110" i="9" s="1"/>
  <c r="R110" i="9" l="1"/>
  <c r="R111" i="9" l="1"/>
  <c r="Q111" i="9"/>
  <c r="P111" i="9" s="1"/>
  <c r="S111" i="9" s="1"/>
  <c r="Q112" i="9" l="1"/>
  <c r="P112" i="9" s="1"/>
  <c r="S112" i="9" s="1"/>
  <c r="R112" i="9" l="1"/>
  <c r="R113" i="9" l="1"/>
  <c r="Q113" i="9"/>
  <c r="P113" i="9" s="1"/>
  <c r="S113" i="9" s="1"/>
  <c r="R114" i="9" l="1"/>
  <c r="Q114" i="9"/>
  <c r="P114" i="9" s="1"/>
  <c r="S114" i="9" s="1"/>
  <c r="R115" i="9" l="1"/>
  <c r="Q115" i="9"/>
  <c r="P115" i="9" s="1"/>
  <c r="S115" i="9" s="1"/>
  <c r="Q116" i="9" l="1"/>
  <c r="P116" i="9" s="1"/>
  <c r="S116" i="9" s="1"/>
  <c r="R116" i="9" l="1"/>
  <c r="R117" i="9" l="1"/>
  <c r="Q117" i="9"/>
  <c r="P117" i="9" s="1"/>
  <c r="S117" i="9" s="1"/>
  <c r="Q118" i="9" l="1"/>
  <c r="P118" i="9" s="1"/>
  <c r="S118" i="9" s="1"/>
  <c r="R118" i="9" l="1"/>
  <c r="Q119" i="9" l="1"/>
  <c r="P119" i="9" s="1"/>
  <c r="S119" i="9" s="1"/>
  <c r="R119" i="9" l="1"/>
  <c r="Q120" i="9" l="1"/>
  <c r="P120" i="9" s="1"/>
  <c r="S120" i="9" s="1"/>
  <c r="R120" i="9" l="1"/>
  <c r="Q121" i="9" l="1"/>
  <c r="P121" i="9" s="1"/>
  <c r="S121" i="9" s="1"/>
  <c r="R121" i="9" l="1"/>
  <c r="Q122" i="9" l="1"/>
  <c r="P122" i="9" s="1"/>
  <c r="S122" i="9" s="1"/>
  <c r="R122" i="9" l="1"/>
  <c r="Q123" i="9" l="1"/>
  <c r="P123" i="9" s="1"/>
  <c r="S123" i="9" s="1"/>
  <c r="R123" i="9" l="1"/>
  <c r="Q124" i="9" l="1"/>
  <c r="P124" i="9" s="1"/>
  <c r="S124" i="9" s="1"/>
  <c r="R124" i="9" l="1"/>
  <c r="Q125" i="9" l="1"/>
  <c r="P125" i="9" s="1"/>
  <c r="S125" i="9" s="1"/>
  <c r="R125" i="9" l="1"/>
  <c r="Q126" i="9" l="1"/>
  <c r="P126" i="9" s="1"/>
  <c r="S126" i="9" s="1"/>
  <c r="R126" i="9" l="1"/>
  <c r="Q127" i="9" l="1"/>
  <c r="P127" i="9" s="1"/>
  <c r="S127" i="9" s="1"/>
  <c r="R127" i="9" l="1"/>
  <c r="Q128" i="9" l="1"/>
  <c r="P128" i="9" s="1"/>
  <c r="S128" i="9" s="1"/>
  <c r="R128" i="9" l="1"/>
  <c r="R129" i="9" l="1"/>
  <c r="Q129" i="9"/>
  <c r="P129" i="9" s="1"/>
  <c r="S129" i="9" s="1"/>
  <c r="R130" i="9" l="1"/>
  <c r="Q130" i="9"/>
  <c r="P130" i="9" s="1"/>
  <c r="S130" i="9" s="1"/>
  <c r="R131" i="9" l="1"/>
  <c r="Q131" i="9"/>
  <c r="P131" i="9" s="1"/>
  <c r="S131" i="9" s="1"/>
  <c r="Q132" i="9" l="1"/>
  <c r="P132" i="9" s="1"/>
  <c r="S132" i="9" s="1"/>
  <c r="R132" i="9" l="1"/>
  <c r="R133" i="9" l="1"/>
  <c r="Q133" i="9"/>
  <c r="P133" i="9" s="1"/>
  <c r="S133" i="9" s="1"/>
  <c r="R134" i="9" l="1"/>
  <c r="Q134" i="9"/>
  <c r="P134" i="9" s="1"/>
  <c r="S134" i="9" s="1"/>
  <c r="Q135" i="9" l="1"/>
  <c r="P135" i="9" s="1"/>
  <c r="S135" i="9" s="1"/>
  <c r="R135" i="9" l="1"/>
  <c r="R136" i="9" l="1"/>
  <c r="Q136" i="9"/>
  <c r="P136" i="9" s="1"/>
  <c r="S136" i="9" s="1"/>
  <c r="Q137" i="9" l="1"/>
  <c r="P137" i="9" s="1"/>
  <c r="S137" i="9" s="1"/>
  <c r="R137" i="9" l="1"/>
  <c r="R138" i="9" l="1"/>
  <c r="Q138" i="9"/>
  <c r="P138" i="9" s="1"/>
  <c r="S138" i="9" s="1"/>
  <c r="R139" i="9" l="1"/>
  <c r="Q139" i="9"/>
  <c r="P139" i="9" s="1"/>
  <c r="S139" i="9" s="1"/>
  <c r="Q140" i="9" l="1"/>
  <c r="P140" i="9" s="1"/>
  <c r="S140" i="9" s="1"/>
  <c r="R140" i="9" l="1"/>
  <c r="R141" i="9" l="1"/>
  <c r="Q141" i="9"/>
  <c r="P141" i="9" s="1"/>
  <c r="S141" i="9" s="1"/>
  <c r="R142" i="9" l="1"/>
  <c r="Q142" i="9"/>
  <c r="P142" i="9" s="1"/>
  <c r="S142" i="9" s="1"/>
  <c r="R143" i="9" l="1"/>
  <c r="Q143" i="9"/>
  <c r="P143" i="9" s="1"/>
  <c r="S143" i="9" s="1"/>
  <c r="Q144" i="9" l="1"/>
  <c r="P144" i="9" s="1"/>
  <c r="S144" i="9" s="1"/>
  <c r="R144" i="9" l="1"/>
  <c r="R145" i="9" l="1"/>
  <c r="Q145" i="9"/>
  <c r="P145" i="9" s="1"/>
  <c r="S145" i="9" s="1"/>
  <c r="R146" i="9" l="1"/>
  <c r="Q146" i="9"/>
  <c r="P146" i="9" s="1"/>
  <c r="S146" i="9" s="1"/>
  <c r="Q147" i="9" l="1"/>
  <c r="P147" i="9" s="1"/>
  <c r="S147" i="9" s="1"/>
  <c r="R147" i="9" l="1"/>
  <c r="Q148" i="9" l="1"/>
  <c r="P148" i="9" s="1"/>
  <c r="S148" i="9" s="1"/>
  <c r="R148" i="9" l="1"/>
  <c r="Q149" i="9" l="1"/>
  <c r="P149" i="9" s="1"/>
  <c r="S149" i="9" s="1"/>
  <c r="R149" i="9" l="1"/>
  <c r="Q150" i="9" l="1"/>
  <c r="P150" i="9" s="1"/>
  <c r="S150" i="9" s="1"/>
  <c r="R150" i="9" l="1"/>
  <c r="Q151" i="9" l="1"/>
  <c r="P151" i="9" s="1"/>
  <c r="S151" i="9" s="1"/>
  <c r="R151" i="9" l="1"/>
  <c r="Q152" i="9" l="1"/>
  <c r="P152" i="9" s="1"/>
  <c r="S152" i="9" s="1"/>
  <c r="R152" i="9" l="1"/>
  <c r="Q153" i="9" l="1"/>
  <c r="P153" i="9" s="1"/>
  <c r="S153" i="9" s="1"/>
  <c r="R153" i="9" l="1"/>
  <c r="Q154" i="9" l="1"/>
  <c r="P154" i="9" s="1"/>
  <c r="S154" i="9" s="1"/>
  <c r="R154" i="9" l="1"/>
  <c r="Q155" i="9" l="1"/>
  <c r="P155" i="9" s="1"/>
  <c r="S155" i="9" s="1"/>
  <c r="R155" i="9" l="1"/>
  <c r="Q156" i="9" l="1"/>
  <c r="P156" i="9" s="1"/>
  <c r="S156" i="9" s="1"/>
  <c r="R156" i="9" l="1"/>
  <c r="Q157" i="9" l="1"/>
  <c r="P157" i="9" s="1"/>
  <c r="S157" i="9" s="1"/>
  <c r="R157" i="9" l="1"/>
  <c r="Q158" i="9" l="1"/>
  <c r="P158" i="9" s="1"/>
  <c r="S158" i="9" s="1"/>
  <c r="R158" i="9" l="1"/>
  <c r="R159" i="9" l="1"/>
  <c r="Q159" i="9"/>
  <c r="P159" i="9" s="1"/>
  <c r="S159" i="9" s="1"/>
  <c r="R160" i="9" l="1"/>
  <c r="Q160" i="9"/>
  <c r="P160" i="9" s="1"/>
  <c r="S160" i="9" s="1"/>
  <c r="Q161" i="9" l="1"/>
  <c r="P161" i="9" s="1"/>
  <c r="S161" i="9" s="1"/>
  <c r="R161" i="9" l="1"/>
  <c r="Q162" i="9" l="1"/>
  <c r="P162" i="9" s="1"/>
  <c r="S162" i="9" s="1"/>
  <c r="R162" i="9" l="1"/>
  <c r="Q163" i="9" l="1"/>
  <c r="P163" i="9" s="1"/>
  <c r="S163" i="9" s="1"/>
  <c r="T82" i="9" l="1"/>
  <c r="K82" i="9"/>
  <c r="W82" i="9" s="1"/>
  <c r="AA82" i="9" s="1"/>
  <c r="R163" i="9"/>
  <c r="Q164" i="9" l="1"/>
  <c r="P164" i="9" s="1"/>
  <c r="S164" i="9" s="1"/>
  <c r="Z82" i="9"/>
  <c r="I82" i="9"/>
  <c r="J82" i="9" l="1"/>
  <c r="R164" i="9"/>
  <c r="Q165" i="9" l="1"/>
  <c r="P165" i="9" s="1"/>
  <c r="S165" i="9" s="1"/>
  <c r="N82" i="9"/>
  <c r="T83" i="9" l="1"/>
  <c r="K83" i="9"/>
  <c r="W83" i="9" s="1"/>
  <c r="AA83" i="9" s="1"/>
  <c r="R165" i="9"/>
  <c r="Z83" i="9" l="1"/>
  <c r="I83" i="9"/>
  <c r="R166" i="9"/>
  <c r="Q166" i="9"/>
  <c r="P166" i="9" s="1"/>
  <c r="S166" i="9" s="1"/>
  <c r="J83" i="9" l="1"/>
  <c r="R167" i="9"/>
  <c r="Q167" i="9"/>
  <c r="P167" i="9" s="1"/>
  <c r="S167" i="9" s="1"/>
  <c r="Q168" i="9" l="1"/>
  <c r="P168" i="9" s="1"/>
  <c r="S168" i="9" s="1"/>
  <c r="N83" i="9"/>
  <c r="T84" i="9" l="1"/>
  <c r="K84" i="9"/>
  <c r="W84" i="9" s="1"/>
  <c r="AA84" i="9" s="1"/>
  <c r="R168" i="9"/>
  <c r="Q169" i="9" l="1"/>
  <c r="P169" i="9" s="1"/>
  <c r="S169" i="9" s="1"/>
  <c r="Z84" i="9"/>
  <c r="I84" i="9"/>
  <c r="J84" i="9" l="1"/>
  <c r="R169" i="9"/>
  <c r="Q170" i="9" l="1"/>
  <c r="P170" i="9" s="1"/>
  <c r="S170" i="9" s="1"/>
  <c r="N84" i="9"/>
  <c r="T85" i="9" l="1"/>
  <c r="K85" i="9"/>
  <c r="W85" i="9" s="1"/>
  <c r="AA85" i="9" s="1"/>
  <c r="R170" i="9"/>
  <c r="Q171" i="9" l="1"/>
  <c r="P171" i="9" s="1"/>
  <c r="S171" i="9" s="1"/>
  <c r="Z85" i="9"/>
  <c r="I85" i="9"/>
  <c r="J85" i="9" l="1"/>
  <c r="R171" i="9"/>
  <c r="Q172" i="9" l="1"/>
  <c r="P172" i="9" s="1"/>
  <c r="S172" i="9" s="1"/>
  <c r="N85" i="9"/>
  <c r="T86" i="9" l="1"/>
  <c r="K86" i="9"/>
  <c r="W86" i="9" s="1"/>
  <c r="AA86" i="9" s="1"/>
  <c r="R172" i="9"/>
  <c r="Z86" i="9" l="1"/>
  <c r="I86" i="9"/>
  <c r="R173" i="9"/>
  <c r="Q173" i="9"/>
  <c r="P173" i="9" s="1"/>
  <c r="S173" i="9" s="1"/>
  <c r="J86" i="9" l="1"/>
  <c r="R174" i="9"/>
  <c r="Q174" i="9"/>
  <c r="P174" i="9" s="1"/>
  <c r="S174" i="9" s="1"/>
  <c r="Q175" i="9" l="1"/>
  <c r="P175" i="9" s="1"/>
  <c r="S175" i="9" s="1"/>
  <c r="N86" i="9"/>
  <c r="T87" i="9" l="1"/>
  <c r="K87" i="9"/>
  <c r="W87" i="9" s="1"/>
  <c r="AA87" i="9" s="1"/>
  <c r="R175" i="9"/>
  <c r="Z87" i="9" l="1"/>
  <c r="I87" i="9"/>
  <c r="R176" i="9"/>
  <c r="Q176" i="9"/>
  <c r="P176" i="9" s="1"/>
  <c r="S176" i="9" s="1"/>
  <c r="J87" i="9" l="1"/>
  <c r="R177" i="9"/>
  <c r="Q177" i="9"/>
  <c r="P177" i="9" s="1"/>
  <c r="S177" i="9" s="1"/>
  <c r="Q178" i="9" l="1"/>
  <c r="P178" i="9" s="1"/>
  <c r="S178" i="9" s="1"/>
  <c r="N87" i="9"/>
  <c r="T88" i="9" l="1"/>
  <c r="K88" i="9"/>
  <c r="W88" i="9" s="1"/>
  <c r="AA88" i="9" s="1"/>
  <c r="R178" i="9"/>
  <c r="Z88" i="9" l="1"/>
  <c r="I88" i="9"/>
  <c r="R179" i="9"/>
  <c r="Q179" i="9"/>
  <c r="P179" i="9" s="1"/>
  <c r="S179" i="9" s="1"/>
  <c r="J88" i="9" l="1"/>
  <c r="R180" i="9"/>
  <c r="Q180" i="9"/>
  <c r="P180" i="9" s="1"/>
  <c r="S180" i="9" s="1"/>
  <c r="Q181" i="9" l="1"/>
  <c r="P181" i="9" s="1"/>
  <c r="S181" i="9" s="1"/>
  <c r="N88" i="9"/>
  <c r="T89" i="9" l="1"/>
  <c r="K89" i="9"/>
  <c r="W89" i="9" s="1"/>
  <c r="AA89" i="9" s="1"/>
  <c r="R181" i="9"/>
  <c r="Z89" i="9" l="1"/>
  <c r="I89" i="9"/>
  <c r="R182" i="9"/>
  <c r="Q182" i="9"/>
  <c r="P182" i="9" s="1"/>
  <c r="S182" i="9" s="1"/>
  <c r="R183" i="9" l="1"/>
  <c r="Q183" i="9"/>
  <c r="P183" i="9" s="1"/>
  <c r="S183" i="9" s="1"/>
  <c r="J89" i="9"/>
  <c r="N89" i="9" l="1"/>
  <c r="Q184" i="9"/>
  <c r="P184" i="9" s="1"/>
  <c r="S184" i="9" s="1"/>
  <c r="R184" i="9" l="1"/>
  <c r="T90" i="9"/>
  <c r="K90" i="9"/>
  <c r="W90" i="9" s="1"/>
  <c r="AA90" i="9" s="1"/>
  <c r="Z90" i="9" l="1"/>
  <c r="I90" i="9"/>
  <c r="R185" i="9"/>
  <c r="Q185" i="9"/>
  <c r="P185" i="9" s="1"/>
  <c r="S185" i="9" s="1"/>
  <c r="J90" i="9" l="1"/>
  <c r="R186" i="9"/>
  <c r="Q186" i="9"/>
  <c r="P186" i="9" s="1"/>
  <c r="S186" i="9" s="1"/>
  <c r="Q187" i="9" l="1"/>
  <c r="P187" i="9" s="1"/>
  <c r="S187" i="9" s="1"/>
  <c r="N90" i="9"/>
  <c r="T91" i="9" l="1"/>
  <c r="K91" i="9"/>
  <c r="W91" i="9" s="1"/>
  <c r="AA91" i="9" s="1"/>
  <c r="R187" i="9"/>
  <c r="Q188" i="9" l="1"/>
  <c r="P188" i="9" s="1"/>
  <c r="S188" i="9" s="1"/>
  <c r="Z91" i="9"/>
  <c r="I91" i="9"/>
  <c r="J91" i="9" l="1"/>
  <c r="R188" i="9"/>
  <c r="Q189" i="9" l="1"/>
  <c r="P189" i="9" s="1"/>
  <c r="S189" i="9" s="1"/>
  <c r="N91" i="9"/>
  <c r="T92" i="9" l="1"/>
  <c r="K92" i="9"/>
  <c r="W92" i="9" s="1"/>
  <c r="AA92" i="9" s="1"/>
  <c r="R189" i="9"/>
  <c r="Z92" i="9" l="1"/>
  <c r="I92" i="9"/>
  <c r="J92" i="9" l="1"/>
  <c r="N92" i="9" l="1"/>
  <c r="T93" i="9" l="1"/>
  <c r="K93" i="9"/>
  <c r="W93" i="9" s="1"/>
  <c r="AA93" i="9" s="1"/>
  <c r="Z93" i="9" l="1"/>
  <c r="I93" i="9"/>
  <c r="J93" i="9" l="1"/>
  <c r="N93" i="9" l="1"/>
  <c r="T94" i="9" l="1"/>
  <c r="K94" i="9"/>
  <c r="W94" i="9" s="1"/>
  <c r="AA94" i="9" s="1"/>
  <c r="Z94" i="9" l="1"/>
  <c r="I94" i="9"/>
  <c r="J94" i="9" l="1"/>
  <c r="N94" i="9" l="1"/>
  <c r="T95" i="9" l="1"/>
  <c r="K95" i="9"/>
  <c r="W95" i="9" s="1"/>
  <c r="AA95" i="9" s="1"/>
  <c r="Z95" i="9" l="1"/>
  <c r="I95" i="9"/>
  <c r="J95" i="9" l="1"/>
  <c r="N95" i="9" l="1"/>
  <c r="T96" i="9" l="1"/>
  <c r="K96" i="9"/>
  <c r="W96" i="9" s="1"/>
  <c r="AA96" i="9" s="1"/>
  <c r="Z96" i="9" l="1"/>
  <c r="I96" i="9"/>
  <c r="J96" i="9" l="1"/>
  <c r="N96" i="9" l="1"/>
  <c r="T97" i="9" l="1"/>
  <c r="K97" i="9"/>
  <c r="W97" i="9" s="1"/>
  <c r="AA97" i="9" s="1"/>
  <c r="Z97" i="9" l="1"/>
  <c r="I97" i="9"/>
  <c r="J97" i="9" l="1"/>
  <c r="N97" i="9" l="1"/>
  <c r="T98" i="9" l="1"/>
  <c r="K98" i="9"/>
  <c r="W98" i="9" s="1"/>
  <c r="AA98" i="9" s="1"/>
  <c r="Z98" i="9" l="1"/>
  <c r="I98" i="9"/>
  <c r="J98" i="9" l="1"/>
  <c r="N98" i="9" l="1"/>
  <c r="T99" i="9" l="1"/>
  <c r="K99" i="9"/>
  <c r="W99" i="9" s="1"/>
  <c r="AA99" i="9" s="1"/>
  <c r="Z99" i="9" l="1"/>
  <c r="I99" i="9"/>
  <c r="J99" i="9" l="1"/>
  <c r="N99" i="9" l="1"/>
  <c r="T100" i="9" l="1"/>
  <c r="K100" i="9"/>
  <c r="W100" i="9" s="1"/>
  <c r="AA100" i="9" s="1"/>
  <c r="Z100" i="9" l="1"/>
  <c r="I100" i="9"/>
  <c r="J100" i="9" l="1"/>
  <c r="N100" i="9" l="1"/>
  <c r="T101" i="9" l="1"/>
  <c r="K101" i="9"/>
  <c r="W101" i="9" s="1"/>
  <c r="AA101" i="9" s="1"/>
  <c r="Z101" i="9" l="1"/>
  <c r="I101" i="9"/>
  <c r="J101" i="9" l="1"/>
  <c r="N101" i="9" l="1"/>
  <c r="T102" i="9" l="1"/>
  <c r="K102" i="9"/>
  <c r="W102" i="9" s="1"/>
  <c r="AA102" i="9" s="1"/>
  <c r="Z102" i="9" l="1"/>
  <c r="I102" i="9"/>
  <c r="J102" i="9" l="1"/>
  <c r="N102" i="9" l="1"/>
  <c r="T103" i="9" l="1"/>
  <c r="K103" i="9"/>
  <c r="W103" i="9" s="1"/>
  <c r="AA103" i="9" s="1"/>
  <c r="Z103" i="9" l="1"/>
  <c r="I103" i="9"/>
  <c r="J103" i="9" l="1"/>
  <c r="N103" i="9" l="1"/>
  <c r="T104" i="9" l="1"/>
  <c r="K104" i="9"/>
  <c r="W104" i="9" s="1"/>
  <c r="AA104" i="9" s="1"/>
  <c r="Z104" i="9" l="1"/>
  <c r="I104" i="9"/>
  <c r="J104" i="9" l="1"/>
  <c r="N104" i="9" l="1"/>
  <c r="T105" i="9" l="1"/>
  <c r="K105" i="9"/>
  <c r="W105" i="9" s="1"/>
  <c r="AA105" i="9" s="1"/>
  <c r="Z105" i="9" l="1"/>
  <c r="I105" i="9"/>
  <c r="J105" i="9" l="1"/>
  <c r="N105" i="9" l="1"/>
  <c r="T106" i="9" l="1"/>
  <c r="K106" i="9"/>
  <c r="W106" i="9" s="1"/>
  <c r="AA106" i="9" s="1"/>
  <c r="Z106" i="9" l="1"/>
  <c r="I106" i="9"/>
  <c r="J106" i="9" l="1"/>
  <c r="N106" i="9" l="1"/>
  <c r="T107" i="9" l="1"/>
  <c r="K107" i="9"/>
  <c r="W107" i="9" s="1"/>
  <c r="AA107" i="9" s="1"/>
  <c r="Z107" i="9" l="1"/>
  <c r="I107" i="9"/>
  <c r="J107" i="9" l="1"/>
  <c r="N107" i="9" l="1"/>
  <c r="T108" i="9" l="1"/>
  <c r="K108" i="9"/>
  <c r="W108" i="9" s="1"/>
  <c r="AA108" i="9" s="1"/>
  <c r="Z108" i="9" l="1"/>
  <c r="I108" i="9"/>
  <c r="J108" i="9" l="1"/>
  <c r="N108" i="9" l="1"/>
  <c r="T109" i="9" l="1"/>
  <c r="K109" i="9"/>
  <c r="W109" i="9" s="1"/>
  <c r="AA109" i="9" s="1"/>
  <c r="Z109" i="9" l="1"/>
  <c r="I109" i="9"/>
  <c r="J109" i="9" l="1"/>
  <c r="N109" i="9" l="1"/>
  <c r="T110" i="9" l="1"/>
  <c r="K110" i="9"/>
  <c r="W110" i="9" s="1"/>
  <c r="AA110" i="9" s="1"/>
  <c r="Z110" i="9" l="1"/>
  <c r="I110" i="9"/>
  <c r="J110" i="9" l="1"/>
  <c r="N110" i="9" l="1"/>
  <c r="T111" i="9" l="1"/>
  <c r="K111" i="9"/>
  <c r="W111" i="9" s="1"/>
  <c r="AA111" i="9" s="1"/>
  <c r="Z111" i="9" l="1"/>
  <c r="I111" i="9"/>
  <c r="J111" i="9" l="1"/>
  <c r="N111" i="9" l="1"/>
  <c r="T112" i="9" l="1"/>
  <c r="K112" i="9"/>
  <c r="W112" i="9" s="1"/>
  <c r="AA112" i="9" s="1"/>
  <c r="Z112" i="9" l="1"/>
  <c r="I112" i="9"/>
  <c r="J112" i="9" l="1"/>
  <c r="N112" i="9" l="1"/>
  <c r="T113" i="9" l="1"/>
  <c r="K113" i="9"/>
  <c r="W113" i="9" s="1"/>
  <c r="AA113" i="9" s="1"/>
  <c r="Z113" i="9" l="1"/>
  <c r="I113" i="9"/>
  <c r="J113" i="9" l="1"/>
  <c r="N113" i="9" l="1"/>
  <c r="T114" i="9" l="1"/>
  <c r="K114" i="9"/>
  <c r="W114" i="9" s="1"/>
  <c r="AA114" i="9" s="1"/>
  <c r="Z114" i="9" l="1"/>
  <c r="I114" i="9"/>
  <c r="J114" i="9" l="1"/>
  <c r="N114" i="9" l="1"/>
  <c r="T115" i="9" l="1"/>
  <c r="K115" i="9"/>
  <c r="W115" i="9" s="1"/>
  <c r="AA115" i="9" s="1"/>
  <c r="Z115" i="9" l="1"/>
  <c r="I115" i="9"/>
  <c r="J115" i="9" l="1"/>
  <c r="N115" i="9" l="1"/>
  <c r="T116" i="9" l="1"/>
  <c r="K116" i="9"/>
  <c r="W116" i="9" s="1"/>
  <c r="AA116" i="9" s="1"/>
  <c r="Z116" i="9" l="1"/>
  <c r="I116" i="9"/>
  <c r="J116" i="9" l="1"/>
  <c r="N116" i="9" l="1"/>
  <c r="T117" i="9" l="1"/>
  <c r="K117" i="9"/>
  <c r="W117" i="9" s="1"/>
  <c r="AA117" i="9" s="1"/>
  <c r="Z117" i="9" l="1"/>
  <c r="I117" i="9"/>
  <c r="J117" i="9" l="1"/>
  <c r="N117" i="9" l="1"/>
  <c r="T118" i="9" l="1"/>
  <c r="K118" i="9"/>
  <c r="W118" i="9" s="1"/>
  <c r="AA118" i="9" s="1"/>
  <c r="Z118" i="9" l="1"/>
  <c r="I118" i="9"/>
  <c r="J118" i="9" l="1"/>
  <c r="N118" i="9" l="1"/>
  <c r="T119" i="9" l="1"/>
  <c r="K119" i="9"/>
  <c r="W119" i="9" s="1"/>
  <c r="AA119" i="9" s="1"/>
  <c r="Z119" i="9" l="1"/>
  <c r="I119" i="9"/>
  <c r="J119" i="9" l="1"/>
  <c r="N119" i="9" l="1"/>
  <c r="T120" i="9" l="1"/>
  <c r="K120" i="9"/>
  <c r="W120" i="9" s="1"/>
  <c r="AA120" i="9" s="1"/>
  <c r="Z120" i="9" l="1"/>
  <c r="I120" i="9"/>
  <c r="J120" i="9" l="1"/>
  <c r="N120" i="9" l="1"/>
  <c r="T121" i="9" l="1"/>
  <c r="K121" i="9"/>
  <c r="W121" i="9" s="1"/>
  <c r="AA121" i="9" s="1"/>
  <c r="Z121" i="9" l="1"/>
  <c r="I121" i="9"/>
  <c r="J121" i="9" l="1"/>
  <c r="N121" i="9" l="1"/>
  <c r="T122" i="9" l="1"/>
  <c r="K122" i="9"/>
  <c r="W122" i="9" s="1"/>
  <c r="AA122" i="9" s="1"/>
  <c r="Z122" i="9" l="1"/>
  <c r="I122" i="9"/>
  <c r="J122" i="9" l="1"/>
  <c r="N122" i="9" l="1"/>
  <c r="T123" i="9" l="1"/>
  <c r="K123" i="9"/>
  <c r="W123" i="9" s="1"/>
  <c r="AA123" i="9" s="1"/>
  <c r="Z123" i="9" l="1"/>
  <c r="I123" i="9"/>
  <c r="J123" i="9" l="1"/>
  <c r="N123" i="9" l="1"/>
  <c r="T124" i="9" l="1"/>
  <c r="K124" i="9"/>
  <c r="W124" i="9" s="1"/>
  <c r="AA124" i="9" s="1"/>
  <c r="Z124" i="9" l="1"/>
  <c r="I124" i="9"/>
  <c r="J124" i="9" l="1"/>
  <c r="N124" i="9" l="1"/>
  <c r="T125" i="9" l="1"/>
  <c r="K125" i="9"/>
  <c r="W125" i="9" s="1"/>
  <c r="AA125" i="9" s="1"/>
  <c r="Z125" i="9" l="1"/>
  <c r="I125" i="9"/>
  <c r="J125" i="9" l="1"/>
  <c r="N125" i="9" l="1"/>
  <c r="T126" i="9" l="1"/>
  <c r="K126" i="9"/>
  <c r="W126" i="9" s="1"/>
  <c r="AA126" i="9" s="1"/>
  <c r="Z126" i="9" l="1"/>
  <c r="I126" i="9"/>
  <c r="J126" i="9" l="1"/>
  <c r="N126" i="9" l="1"/>
  <c r="T127" i="9" l="1"/>
  <c r="K127" i="9"/>
  <c r="W127" i="9" s="1"/>
  <c r="AA127" i="9" s="1"/>
  <c r="Z127" i="9" l="1"/>
  <c r="I127" i="9"/>
  <c r="J127" i="9" l="1"/>
  <c r="N127" i="9" l="1"/>
  <c r="T128" i="9" l="1"/>
  <c r="K128" i="9"/>
  <c r="W128" i="9" s="1"/>
  <c r="AA128" i="9" s="1"/>
  <c r="Z128" i="9" l="1"/>
  <c r="I128" i="9"/>
  <c r="J128" i="9" l="1"/>
  <c r="N128" i="9" l="1"/>
  <c r="T129" i="9" l="1"/>
  <c r="K129" i="9"/>
  <c r="W129" i="9" s="1"/>
  <c r="AA129" i="9" s="1"/>
  <c r="Z129" i="9" l="1"/>
  <c r="I129" i="9"/>
  <c r="J129" i="9" l="1"/>
  <c r="N129" i="9" l="1"/>
  <c r="T130" i="9" l="1"/>
  <c r="K130" i="9"/>
  <c r="W130" i="9" s="1"/>
  <c r="AA130" i="9" s="1"/>
  <c r="Z130" i="9" l="1"/>
  <c r="I130" i="9"/>
  <c r="J130" i="9" l="1"/>
  <c r="N130" i="9" l="1"/>
  <c r="T131" i="9" l="1"/>
  <c r="K131" i="9"/>
  <c r="W131" i="9" s="1"/>
  <c r="AA131" i="9" s="1"/>
  <c r="Z131" i="9" l="1"/>
  <c r="I131" i="9"/>
  <c r="J131" i="9" l="1"/>
  <c r="N131" i="9" l="1"/>
  <c r="T132" i="9" l="1"/>
  <c r="K132" i="9"/>
  <c r="W132" i="9" s="1"/>
  <c r="AA132" i="9" s="1"/>
  <c r="Z132" i="9" l="1"/>
  <c r="I132" i="9"/>
  <c r="J132" i="9" l="1"/>
  <c r="N132" i="9" l="1"/>
  <c r="T133" i="9" l="1"/>
  <c r="K133" i="9"/>
  <c r="W133" i="9" s="1"/>
  <c r="AA133" i="9" s="1"/>
  <c r="Z133" i="9" l="1"/>
  <c r="I133" i="9"/>
  <c r="J133" i="9" l="1"/>
  <c r="N133" i="9" l="1"/>
  <c r="T134" i="9" l="1"/>
  <c r="K134" i="9"/>
  <c r="W134" i="9" s="1"/>
  <c r="AA134" i="9" s="1"/>
  <c r="Z134" i="9" l="1"/>
  <c r="I134" i="9"/>
  <c r="J134" i="9" l="1"/>
  <c r="N134" i="9" l="1"/>
  <c r="T135" i="9" l="1"/>
  <c r="K135" i="9"/>
  <c r="W135" i="9" s="1"/>
  <c r="AA135" i="9" s="1"/>
  <c r="Z135" i="9" l="1"/>
  <c r="I135" i="9"/>
  <c r="J135" i="9" l="1"/>
  <c r="N135" i="9" l="1"/>
  <c r="T136" i="9" l="1"/>
  <c r="K136" i="9"/>
  <c r="W136" i="9" s="1"/>
  <c r="AA136" i="9" s="1"/>
  <c r="Z136" i="9" l="1"/>
  <c r="I136" i="9"/>
  <c r="J136" i="9" l="1"/>
  <c r="N136" i="9" l="1"/>
  <c r="T137" i="9" l="1"/>
  <c r="K137" i="9"/>
  <c r="W137" i="9" s="1"/>
  <c r="AA137" i="9" s="1"/>
  <c r="Z137" i="9" l="1"/>
  <c r="I137" i="9"/>
  <c r="J137" i="9" l="1"/>
  <c r="N137" i="9" l="1"/>
  <c r="T138" i="9" l="1"/>
  <c r="K138" i="9"/>
  <c r="W138" i="9" s="1"/>
  <c r="AA138" i="9" s="1"/>
  <c r="Z138" i="9" l="1"/>
  <c r="I138" i="9"/>
  <c r="J138" i="9" l="1"/>
  <c r="N138" i="9" l="1"/>
  <c r="T139" i="9" l="1"/>
  <c r="K139" i="9"/>
  <c r="W139" i="9" s="1"/>
  <c r="AA139" i="9" s="1"/>
  <c r="Z139" i="9" l="1"/>
  <c r="I139" i="9"/>
  <c r="J139" i="9" l="1"/>
  <c r="N139" i="9" l="1"/>
  <c r="T140" i="9" l="1"/>
  <c r="K140" i="9"/>
  <c r="W140" i="9" s="1"/>
  <c r="AA140" i="9" s="1"/>
  <c r="Z140" i="9" l="1"/>
  <c r="I140" i="9"/>
  <c r="J140" i="9" l="1"/>
  <c r="N140" i="9" l="1"/>
  <c r="T141" i="9" l="1"/>
  <c r="K141" i="9"/>
  <c r="W141" i="9" s="1"/>
  <c r="AA141" i="9" s="1"/>
  <c r="Z141" i="9" l="1"/>
  <c r="I141" i="9"/>
  <c r="J141" i="9" l="1"/>
  <c r="N141" i="9" l="1"/>
  <c r="T142" i="9" l="1"/>
  <c r="K142" i="9"/>
  <c r="W142" i="9" s="1"/>
  <c r="AA142" i="9" s="1"/>
  <c r="Z142" i="9" l="1"/>
  <c r="I142" i="9"/>
  <c r="J142" i="9" l="1"/>
  <c r="N142" i="9" l="1"/>
  <c r="T143" i="9" l="1"/>
  <c r="K143" i="9"/>
  <c r="W143" i="9" s="1"/>
  <c r="AA143" i="9" s="1"/>
  <c r="Z143" i="9" l="1"/>
  <c r="I143" i="9"/>
  <c r="J143" i="9" l="1"/>
  <c r="N143" i="9" l="1"/>
  <c r="T144" i="9" l="1"/>
  <c r="K144" i="9"/>
  <c r="W144" i="9" s="1"/>
  <c r="AA144" i="9" s="1"/>
  <c r="Z144" i="9" l="1"/>
  <c r="I144" i="9"/>
  <c r="J144" i="9" l="1"/>
  <c r="N144" i="9" l="1"/>
  <c r="T145" i="9" l="1"/>
  <c r="K145" i="9"/>
  <c r="W145" i="9" s="1"/>
  <c r="AA145" i="9" s="1"/>
  <c r="Z145" i="9" l="1"/>
  <c r="I145" i="9"/>
  <c r="J145" i="9" l="1"/>
  <c r="N145" i="9" l="1"/>
  <c r="T146" i="9" l="1"/>
  <c r="K146" i="9"/>
  <c r="W146" i="9" s="1"/>
  <c r="AA146" i="9" s="1"/>
  <c r="Z146" i="9" l="1"/>
  <c r="I146" i="9"/>
  <c r="J146" i="9" l="1"/>
  <c r="N146" i="9" l="1"/>
  <c r="T147" i="9" l="1"/>
  <c r="K147" i="9"/>
  <c r="W147" i="9" s="1"/>
  <c r="AA147" i="9" s="1"/>
  <c r="Z147" i="9" l="1"/>
  <c r="I147" i="9"/>
  <c r="J147" i="9" l="1"/>
  <c r="N147" i="9" l="1"/>
  <c r="T148" i="9" l="1"/>
  <c r="K148" i="9"/>
  <c r="W148" i="9" s="1"/>
  <c r="AA148" i="9" s="1"/>
  <c r="Z148" i="9" l="1"/>
  <c r="I148" i="9"/>
  <c r="J148" i="9" l="1"/>
  <c r="N148" i="9" l="1"/>
  <c r="T149" i="9" l="1"/>
  <c r="K149" i="9"/>
  <c r="W149" i="9" s="1"/>
  <c r="AA149" i="9" s="1"/>
  <c r="Z149" i="9" l="1"/>
  <c r="I149" i="9"/>
  <c r="J149" i="9" l="1"/>
  <c r="N149" i="9" l="1"/>
  <c r="T150" i="9" l="1"/>
  <c r="K150" i="9"/>
  <c r="W150" i="9" s="1"/>
  <c r="AA150" i="9" s="1"/>
  <c r="Z150" i="9" l="1"/>
  <c r="I150" i="9"/>
  <c r="J150" i="9" l="1"/>
  <c r="N150" i="9" l="1"/>
  <c r="T151" i="9" l="1"/>
  <c r="K151" i="9"/>
  <c r="W151" i="9" s="1"/>
  <c r="AA151" i="9" s="1"/>
  <c r="Z151" i="9" l="1"/>
  <c r="I151" i="9"/>
  <c r="J151" i="9" l="1"/>
  <c r="N151" i="9" l="1"/>
  <c r="T152" i="9" l="1"/>
  <c r="K152" i="9"/>
  <c r="W152" i="9" s="1"/>
  <c r="AA152" i="9" s="1"/>
  <c r="Z152" i="9" l="1"/>
  <c r="I152" i="9"/>
  <c r="J152" i="9" l="1"/>
  <c r="N152" i="9" l="1"/>
  <c r="T153" i="9" l="1"/>
  <c r="K153" i="9"/>
  <c r="W153" i="9" s="1"/>
  <c r="AA153" i="9" s="1"/>
  <c r="Z153" i="9" l="1"/>
  <c r="I153" i="9"/>
  <c r="J153" i="9" l="1"/>
  <c r="N153" i="9" l="1"/>
  <c r="T154" i="9" l="1"/>
  <c r="K154" i="9"/>
  <c r="W154" i="9" s="1"/>
  <c r="AA154" i="9" s="1"/>
  <c r="Z154" i="9" l="1"/>
  <c r="I154" i="9"/>
  <c r="J154" i="9" l="1"/>
  <c r="N154" i="9" l="1"/>
  <c r="T155" i="9" l="1"/>
  <c r="K155" i="9"/>
  <c r="W155" i="9" s="1"/>
  <c r="AA155" i="9" s="1"/>
  <c r="Z155" i="9" l="1"/>
  <c r="I155" i="9"/>
  <c r="J155" i="9" l="1"/>
  <c r="N155" i="9" l="1"/>
  <c r="T156" i="9" l="1"/>
  <c r="K156" i="9"/>
  <c r="W156" i="9" s="1"/>
  <c r="AA156" i="9" s="1"/>
  <c r="Z156" i="9" l="1"/>
  <c r="I156" i="9"/>
  <c r="J156" i="9" l="1"/>
  <c r="N156" i="9" l="1"/>
  <c r="T157" i="9" l="1"/>
  <c r="K157" i="9"/>
  <c r="W157" i="9" s="1"/>
  <c r="AA157" i="9" s="1"/>
  <c r="Z157" i="9" l="1"/>
  <c r="I157" i="9"/>
  <c r="J157" i="9" l="1"/>
  <c r="N157" i="9" l="1"/>
  <c r="T158" i="9" l="1"/>
  <c r="K158" i="9"/>
  <c r="W158" i="9" s="1"/>
  <c r="AA158" i="9" s="1"/>
  <c r="Z158" i="9" l="1"/>
  <c r="I158" i="9"/>
  <c r="J158" i="9" l="1"/>
  <c r="N158" i="9" l="1"/>
  <c r="T159" i="9" l="1"/>
  <c r="K159" i="9"/>
  <c r="W159" i="9" s="1"/>
  <c r="AA159" i="9" s="1"/>
  <c r="Z159" i="9" l="1"/>
  <c r="I159" i="9"/>
  <c r="J159" i="9" l="1"/>
  <c r="N159" i="9" l="1"/>
  <c r="T160" i="9" l="1"/>
  <c r="K160" i="9"/>
  <c r="W160" i="9" s="1"/>
  <c r="AA160" i="9" s="1"/>
  <c r="Z160" i="9" l="1"/>
  <c r="I160" i="9"/>
  <c r="J160" i="9" l="1"/>
  <c r="N160" i="9" l="1"/>
  <c r="T161" i="9" l="1"/>
  <c r="K161" i="9"/>
  <c r="W161" i="9" s="1"/>
  <c r="AA161" i="9" s="1"/>
  <c r="Z161" i="9" l="1"/>
  <c r="I161" i="9"/>
  <c r="J161" i="9" l="1"/>
  <c r="N161" i="9" l="1"/>
  <c r="T162" i="9" l="1"/>
  <c r="K162" i="9"/>
  <c r="W162" i="9" s="1"/>
  <c r="AA162" i="9" s="1"/>
  <c r="Z162" i="9" l="1"/>
  <c r="I162" i="9"/>
  <c r="J162" i="9" l="1"/>
  <c r="N162" i="9" l="1"/>
  <c r="T163" i="9" l="1"/>
  <c r="K163" i="9"/>
  <c r="W163" i="9" s="1"/>
  <c r="AA163" i="9" s="1"/>
  <c r="Z163" i="9" l="1"/>
  <c r="I163" i="9"/>
  <c r="J163" i="9" l="1"/>
  <c r="N163" i="9" l="1"/>
  <c r="T164" i="9" l="1"/>
  <c r="K164" i="9"/>
  <c r="W164" i="9" s="1"/>
  <c r="AA164" i="9" s="1"/>
  <c r="Z164" i="9" l="1"/>
  <c r="I164" i="9"/>
  <c r="J164" i="9" l="1"/>
  <c r="N164" i="9" l="1"/>
  <c r="T165" i="9" l="1"/>
  <c r="K165" i="9"/>
  <c r="W165" i="9" s="1"/>
  <c r="AA165" i="9" s="1"/>
  <c r="Z165" i="9" l="1"/>
  <c r="I165" i="9"/>
  <c r="J165" i="9" l="1"/>
  <c r="N165" i="9" l="1"/>
  <c r="T166" i="9" l="1"/>
  <c r="K166" i="9"/>
  <c r="W166" i="9" s="1"/>
  <c r="AA166" i="9" s="1"/>
  <c r="Z166" i="9" l="1"/>
  <c r="I166" i="9"/>
  <c r="J166" i="9" l="1"/>
  <c r="N166" i="9" l="1"/>
  <c r="T167" i="9" l="1"/>
  <c r="K167" i="9"/>
  <c r="W167" i="9" s="1"/>
  <c r="AA167" i="9" s="1"/>
  <c r="Z167" i="9" l="1"/>
  <c r="I167" i="9"/>
  <c r="J167" i="9" l="1"/>
  <c r="N167" i="9" l="1"/>
  <c r="T168" i="9" l="1"/>
  <c r="K168" i="9"/>
  <c r="W168" i="9" s="1"/>
  <c r="AA168" i="9" s="1"/>
  <c r="Z168" i="9" l="1"/>
  <c r="I168" i="9"/>
  <c r="J168" i="9" l="1"/>
  <c r="N168" i="9" l="1"/>
  <c r="T169" i="9" l="1"/>
  <c r="K169" i="9"/>
  <c r="W169" i="9" s="1"/>
  <c r="AA169" i="9" s="1"/>
  <c r="Z169" i="9" l="1"/>
  <c r="I169" i="9"/>
  <c r="J169" i="9" l="1"/>
  <c r="N169" i="9" l="1"/>
  <c r="T170" i="9" l="1"/>
  <c r="K170" i="9"/>
  <c r="W170" i="9" s="1"/>
  <c r="AA170" i="9" s="1"/>
  <c r="Z170" i="9" l="1"/>
  <c r="I170" i="9"/>
  <c r="J170" i="9" l="1"/>
  <c r="N170" i="9" l="1"/>
  <c r="T171" i="9" l="1"/>
  <c r="K171" i="9"/>
  <c r="W171" i="9" s="1"/>
  <c r="AA171" i="9" s="1"/>
  <c r="Z171" i="9" l="1"/>
  <c r="I171" i="9"/>
  <c r="J171" i="9" l="1"/>
  <c r="N171" i="9" l="1"/>
  <c r="T172" i="9" l="1"/>
  <c r="K172" i="9"/>
  <c r="W172" i="9" s="1"/>
  <c r="AA172" i="9" s="1"/>
  <c r="Z172" i="9" l="1"/>
  <c r="I172" i="9"/>
  <c r="J172" i="9" l="1"/>
  <c r="N172" i="9" l="1"/>
  <c r="T173" i="9" l="1"/>
  <c r="K173" i="9"/>
  <c r="W173" i="9" s="1"/>
  <c r="AA173" i="9" s="1"/>
  <c r="Z173" i="9" l="1"/>
  <c r="I173" i="9"/>
  <c r="J173" i="9" l="1"/>
  <c r="N173" i="9" l="1"/>
  <c r="T174" i="9" l="1"/>
  <c r="K174" i="9"/>
  <c r="W174" i="9" s="1"/>
  <c r="AA174" i="9" s="1"/>
  <c r="Z174" i="9" l="1"/>
  <c r="I174" i="9"/>
  <c r="J174" i="9" l="1"/>
  <c r="N174" i="9" l="1"/>
  <c r="T175" i="9" l="1"/>
  <c r="K175" i="9"/>
  <c r="W175" i="9" s="1"/>
  <c r="AA175" i="9" s="1"/>
  <c r="Z175" i="9" l="1"/>
  <c r="I175" i="9"/>
  <c r="J175" i="9" l="1"/>
  <c r="N175" i="9"/>
  <c r="T176" i="9" l="1"/>
  <c r="K176" i="9"/>
  <c r="W176" i="9" s="1"/>
  <c r="AA176" i="9" s="1"/>
  <c r="Z176" i="9" l="1"/>
  <c r="I176" i="9"/>
  <c r="J176" i="9" l="1"/>
  <c r="N176" i="9"/>
  <c r="T177" i="9" l="1"/>
  <c r="K177" i="9"/>
  <c r="W177" i="9" s="1"/>
  <c r="AA177" i="9" s="1"/>
  <c r="Z177" i="9" l="1"/>
  <c r="I177" i="9"/>
  <c r="J177" i="9" l="1"/>
  <c r="N177" i="9"/>
  <c r="T178" i="9" l="1"/>
  <c r="K178" i="9"/>
  <c r="W178" i="9" s="1"/>
  <c r="AA178" i="9" s="1"/>
  <c r="Z178" i="9" l="1"/>
  <c r="I178" i="9"/>
  <c r="J178" i="9" l="1"/>
  <c r="N178" i="9" l="1"/>
  <c r="T179" i="9" l="1"/>
  <c r="K179" i="9"/>
  <c r="W179" i="9" s="1"/>
  <c r="AA179" i="9" s="1"/>
  <c r="Z179" i="9" l="1"/>
  <c r="I179" i="9"/>
  <c r="J179" i="9" l="1"/>
  <c r="N179" i="9" l="1"/>
  <c r="T180" i="9" l="1"/>
  <c r="K180" i="9"/>
  <c r="W180" i="9" s="1"/>
  <c r="AA180" i="9" s="1"/>
  <c r="Z180" i="9" l="1"/>
  <c r="I180" i="9"/>
  <c r="J180" i="9" l="1"/>
  <c r="N180" i="9" l="1"/>
  <c r="T181" i="9" l="1"/>
  <c r="K181" i="9"/>
  <c r="W181" i="9" s="1"/>
  <c r="AA181" i="9" s="1"/>
  <c r="Z181" i="9" l="1"/>
  <c r="I181" i="9"/>
  <c r="J181" i="9" l="1"/>
  <c r="N181" i="9" l="1"/>
  <c r="T182" i="9" l="1"/>
  <c r="K182" i="9"/>
  <c r="W182" i="9" s="1"/>
  <c r="AA182" i="9" s="1"/>
  <c r="Z182" i="9" l="1"/>
  <c r="I182" i="9"/>
  <c r="J182" i="9" l="1"/>
  <c r="N182" i="9" l="1"/>
  <c r="T183" i="9" l="1"/>
  <c r="K183" i="9"/>
  <c r="W183" i="9" s="1"/>
  <c r="AA183" i="9" s="1"/>
  <c r="Z183" i="9" l="1"/>
  <c r="I183" i="9"/>
  <c r="J183" i="9" l="1"/>
  <c r="N183" i="9" l="1"/>
  <c r="T184" i="9" l="1"/>
  <c r="K184" i="9"/>
  <c r="W184" i="9" s="1"/>
  <c r="AA184" i="9" s="1"/>
  <c r="Z184" i="9" l="1"/>
  <c r="I184" i="9"/>
  <c r="J184" i="9" l="1"/>
  <c r="N184" i="9" l="1"/>
  <c r="T185" i="9" l="1"/>
  <c r="K185" i="9"/>
  <c r="W185" i="9" s="1"/>
  <c r="AA185" i="9" s="1"/>
  <c r="Z185" i="9" l="1"/>
  <c r="I185" i="9"/>
  <c r="J185" i="9" l="1"/>
  <c r="N185" i="9" l="1"/>
  <c r="T186" i="9" l="1"/>
  <c r="K186" i="9"/>
  <c r="W186" i="9" s="1"/>
  <c r="AA186" i="9" s="1"/>
  <c r="Z186" i="9" l="1"/>
  <c r="I186" i="9"/>
  <c r="J186" i="9" l="1"/>
  <c r="N186" i="9"/>
  <c r="T187" i="9" l="1"/>
  <c r="K187" i="9"/>
  <c r="W187" i="9" s="1"/>
  <c r="AA187" i="9" s="1"/>
  <c r="Z187" i="9" l="1"/>
  <c r="I187" i="9"/>
  <c r="J187" i="9" l="1"/>
  <c r="N187" i="9"/>
  <c r="T188" i="9" l="1"/>
  <c r="K188" i="9"/>
  <c r="W188" i="9" s="1"/>
  <c r="AA188" i="9" s="1"/>
  <c r="Z188" i="9" l="1"/>
  <c r="I188" i="9"/>
  <c r="J188" i="9" l="1"/>
  <c r="N188" i="9"/>
  <c r="T189" i="9" l="1"/>
  <c r="K189" i="9"/>
  <c r="W189" i="9" s="1"/>
  <c r="AA189" i="9" s="1"/>
  <c r="I189" i="9" l="1"/>
  <c r="J189" i="9" l="1"/>
  <c r="N189" i="9"/>
  <c r="Z189" i="9"/>
  <c r="D17" i="7" l="1"/>
  <c r="D18" i="7" s="1"/>
  <c r="D18" i="8"/>
  <c r="D19" i="8" s="1"/>
  <c r="J8" i="8" s="1"/>
  <c r="M9" i="7" l="1"/>
  <c r="J7" i="7"/>
  <c r="P8" i="8"/>
  <c r="I8" i="8"/>
  <c r="O8" i="8" s="1"/>
  <c r="N9" i="7" l="1"/>
  <c r="Q9" i="7"/>
  <c r="U9" i="7" s="1"/>
  <c r="W11" i="8"/>
  <c r="I7" i="7"/>
  <c r="P7" i="7"/>
  <c r="R9" i="7" s="1"/>
  <c r="M8" i="8"/>
  <c r="M10" i="8" s="1"/>
  <c r="Q10" i="8" s="1"/>
  <c r="U10" i="8" s="1"/>
  <c r="O7" i="7" l="1"/>
  <c r="M7" i="7"/>
  <c r="Q8" i="8"/>
  <c r="N8" i="8"/>
  <c r="I58" i="7" l="1"/>
  <c r="J58" i="7" s="1"/>
  <c r="I53" i="7"/>
  <c r="J53" i="7" s="1"/>
  <c r="I59" i="7"/>
  <c r="J59" i="7" s="1"/>
  <c r="I60" i="7"/>
  <c r="J60" i="7" s="1"/>
  <c r="I48" i="7"/>
  <c r="J48" i="7" s="1"/>
  <c r="I74" i="7"/>
  <c r="J74" i="7" s="1"/>
  <c r="I61" i="7"/>
  <c r="J61" i="7" s="1"/>
  <c r="I49" i="7"/>
  <c r="J49" i="7" s="1"/>
  <c r="I50" i="7"/>
  <c r="J50" i="7" s="1"/>
  <c r="I62" i="7"/>
  <c r="J62" i="7" s="1"/>
  <c r="I68" i="7"/>
  <c r="J68" i="7" s="1"/>
  <c r="I52" i="7"/>
  <c r="J52" i="7" s="1"/>
  <c r="I54" i="7"/>
  <c r="J54" i="7" s="1"/>
  <c r="I63" i="7"/>
  <c r="J63" i="7" s="1"/>
  <c r="I69" i="7"/>
  <c r="J69" i="7" s="1"/>
  <c r="I47" i="7"/>
  <c r="J47" i="7" s="1"/>
  <c r="I78" i="7"/>
  <c r="J78" i="7" s="1"/>
  <c r="I56" i="7"/>
  <c r="J56" i="7" s="1"/>
  <c r="I64" i="7"/>
  <c r="J64" i="7" s="1"/>
  <c r="I71" i="7"/>
  <c r="J71" i="7" s="1"/>
  <c r="I72" i="7"/>
  <c r="J72" i="7" s="1"/>
  <c r="I55" i="7"/>
  <c r="J55" i="7" s="1"/>
  <c r="I57" i="7"/>
  <c r="J57" i="7" s="1"/>
  <c r="I65" i="7"/>
  <c r="J65" i="7" s="1"/>
  <c r="I46" i="7"/>
  <c r="J46" i="7" s="1"/>
  <c r="I66" i="7"/>
  <c r="J66" i="7" s="1"/>
  <c r="I73" i="7"/>
  <c r="J73" i="7" s="1"/>
  <c r="I81" i="7"/>
  <c r="J81" i="7" s="1"/>
  <c r="I67" i="7"/>
  <c r="J67" i="7" s="1"/>
  <c r="I70" i="7"/>
  <c r="J70" i="7" s="1"/>
  <c r="I76" i="7"/>
  <c r="J76" i="7" s="1"/>
  <c r="I80" i="7"/>
  <c r="J80" i="7" s="1"/>
  <c r="I75" i="7"/>
  <c r="J75" i="7" s="1"/>
  <c r="I51" i="7"/>
  <c r="J51" i="7" s="1"/>
  <c r="I77" i="7"/>
  <c r="J77" i="7" s="1"/>
  <c r="I79" i="7"/>
  <c r="J79" i="7" s="1"/>
  <c r="N7" i="7"/>
  <c r="Q7" i="7"/>
  <c r="I10" i="7"/>
  <c r="W10" i="7"/>
  <c r="I12" i="7"/>
  <c r="J12" i="7" s="1"/>
  <c r="I14" i="7"/>
  <c r="J14" i="7" s="1"/>
  <c r="I16" i="7"/>
  <c r="J16" i="7" s="1"/>
  <c r="I18" i="7"/>
  <c r="J18" i="7" s="1"/>
  <c r="I20" i="7"/>
  <c r="J20" i="7" s="1"/>
  <c r="I22" i="7"/>
  <c r="J22" i="7" s="1"/>
  <c r="I24" i="7"/>
  <c r="J24" i="7" s="1"/>
  <c r="I26" i="7"/>
  <c r="J26" i="7" s="1"/>
  <c r="I28" i="7"/>
  <c r="J28" i="7" s="1"/>
  <c r="I30" i="7"/>
  <c r="J30" i="7" s="1"/>
  <c r="I32" i="7"/>
  <c r="J32" i="7" s="1"/>
  <c r="I34" i="7"/>
  <c r="J34" i="7" s="1"/>
  <c r="I36" i="7"/>
  <c r="J36" i="7" s="1"/>
  <c r="I38" i="7"/>
  <c r="J38" i="7" s="1"/>
  <c r="I40" i="7"/>
  <c r="J40" i="7" s="1"/>
  <c r="I42" i="7"/>
  <c r="J42" i="7" s="1"/>
  <c r="I44" i="7"/>
  <c r="J44" i="7" s="1"/>
  <c r="K10" i="7"/>
  <c r="L10" i="7" s="1"/>
  <c r="I11" i="7"/>
  <c r="J11" i="7" s="1"/>
  <c r="I13" i="7"/>
  <c r="J13" i="7" s="1"/>
  <c r="I15" i="7"/>
  <c r="J15" i="7" s="1"/>
  <c r="I17" i="7"/>
  <c r="J17" i="7" s="1"/>
  <c r="I19" i="7"/>
  <c r="J19" i="7" s="1"/>
  <c r="I21" i="7"/>
  <c r="J21" i="7" s="1"/>
  <c r="I23" i="7"/>
  <c r="J23" i="7" s="1"/>
  <c r="I25" i="7"/>
  <c r="J25" i="7" s="1"/>
  <c r="I27" i="7"/>
  <c r="J27" i="7" s="1"/>
  <c r="I29" i="7"/>
  <c r="J29" i="7" s="1"/>
  <c r="I31" i="7"/>
  <c r="J31" i="7" s="1"/>
  <c r="I33" i="7"/>
  <c r="J33" i="7" s="1"/>
  <c r="I35" i="7"/>
  <c r="J35" i="7" s="1"/>
  <c r="I37" i="7"/>
  <c r="J37" i="7" s="1"/>
  <c r="I39" i="7"/>
  <c r="J39" i="7" s="1"/>
  <c r="I41" i="7"/>
  <c r="J41" i="7" s="1"/>
  <c r="I43" i="7"/>
  <c r="J43" i="7" s="1"/>
  <c r="I45" i="7"/>
  <c r="J45" i="7" s="1"/>
  <c r="U8" i="8"/>
  <c r="S8" i="8"/>
  <c r="R8" i="8"/>
  <c r="N10" i="8"/>
  <c r="R7" i="7" l="1"/>
  <c r="T7" i="7" s="1"/>
  <c r="S7" i="7"/>
  <c r="U7" i="7"/>
  <c r="I4" i="7"/>
  <c r="J10" i="7"/>
  <c r="R10" i="8"/>
  <c r="T8" i="8"/>
  <c r="V8" i="8"/>
  <c r="J4" i="7" l="1"/>
  <c r="M10" i="7"/>
  <c r="P10" i="7"/>
  <c r="O10" i="7"/>
  <c r="V9" i="7"/>
  <c r="V7" i="7"/>
  <c r="V10" i="8"/>
  <c r="Q10" i="7" l="1"/>
  <c r="W11" i="7"/>
  <c r="K11" i="7"/>
  <c r="L11" i="7" s="1"/>
  <c r="M11" i="7" s="1"/>
  <c r="O11" i="7"/>
  <c r="N10" i="7"/>
  <c r="P11" i="7"/>
  <c r="N11" i="7" l="1"/>
  <c r="S10" i="7"/>
  <c r="U10" i="7" s="1"/>
  <c r="R10" i="7"/>
  <c r="W12" i="7"/>
  <c r="K12" i="7"/>
  <c r="L12" i="7" s="1"/>
  <c r="P12" i="7" s="1"/>
  <c r="O12" i="7"/>
  <c r="Q11" i="7"/>
  <c r="T10" i="7" l="1"/>
  <c r="V10" i="7" s="1"/>
  <c r="M12" i="7"/>
  <c r="N12" i="7" s="1"/>
  <c r="W13" i="7"/>
  <c r="K13" i="7"/>
  <c r="L13" i="7" s="1"/>
  <c r="M13" i="7" s="1"/>
  <c r="N13" i="7" s="1"/>
  <c r="O13" i="7"/>
  <c r="S11" i="7"/>
  <c r="R11" i="7"/>
  <c r="P13" i="7"/>
  <c r="Q12" i="7" l="1"/>
  <c r="Q13" i="7"/>
  <c r="R13" i="7" s="1"/>
  <c r="O14" i="7"/>
  <c r="W14" i="7"/>
  <c r="K14" i="7"/>
  <c r="L14" i="7" s="1"/>
  <c r="P14" i="7" s="1"/>
  <c r="S13" i="7"/>
  <c r="U13" i="7" s="1"/>
  <c r="T11" i="7"/>
  <c r="V11" i="7" s="1"/>
  <c r="U11" i="7"/>
  <c r="R12" i="7" l="1"/>
  <c r="T12" i="7" s="1"/>
  <c r="V12" i="7" s="1"/>
  <c r="S12" i="7"/>
  <c r="U12" i="7" s="1"/>
  <c r="M14" i="7"/>
  <c r="N14" i="7" s="1"/>
  <c r="W15" i="7"/>
  <c r="K15" i="7"/>
  <c r="L15" i="7" s="1"/>
  <c r="P15" i="7" s="1"/>
  <c r="O15" i="7"/>
  <c r="T13" i="7"/>
  <c r="V13" i="7" s="1"/>
  <c r="M15" i="7" l="1"/>
  <c r="N15" i="7" s="1"/>
  <c r="Q14" i="7"/>
  <c r="R14" i="7" s="1"/>
  <c r="K16" i="7"/>
  <c r="L16" i="7" s="1"/>
  <c r="P16" i="7" s="1"/>
  <c r="O16" i="7"/>
  <c r="W16" i="7"/>
  <c r="S14" i="7"/>
  <c r="U14" i="7" s="1"/>
  <c r="Q15" i="7" l="1"/>
  <c r="R15" i="7" s="1"/>
  <c r="M16" i="7"/>
  <c r="W17" i="7"/>
  <c r="K17" i="7"/>
  <c r="L17" i="7" s="1"/>
  <c r="P17" i="7" s="1"/>
  <c r="O17" i="7"/>
  <c r="T14" i="7"/>
  <c r="V14" i="7" s="1"/>
  <c r="S15" i="7"/>
  <c r="U15" i="7" s="1"/>
  <c r="M17" i="7" l="1"/>
  <c r="Q16" i="7"/>
  <c r="N16" i="7"/>
  <c r="W18" i="7"/>
  <c r="K18" i="7"/>
  <c r="O18" i="7"/>
  <c r="T15" i="7"/>
  <c r="V15" i="7" s="1"/>
  <c r="R16" i="7" l="1"/>
  <c r="T16" i="7" s="1"/>
  <c r="V16" i="7" s="1"/>
  <c r="S16" i="7"/>
  <c r="U16" i="7" s="1"/>
  <c r="Q17" i="7"/>
  <c r="N17" i="7"/>
  <c r="L18" i="7"/>
  <c r="P18" i="7" s="1"/>
  <c r="W19" i="7"/>
  <c r="K19" i="7"/>
  <c r="L19" i="7" s="1"/>
  <c r="P19" i="7" s="1"/>
  <c r="O19" i="7"/>
  <c r="M18" i="7" l="1"/>
  <c r="Q18" i="7" s="1"/>
  <c r="M19" i="7"/>
  <c r="N19" i="7" s="1"/>
  <c r="R17" i="7"/>
  <c r="T17" i="7" s="1"/>
  <c r="V17" i="7" s="1"/>
  <c r="S17" i="7"/>
  <c r="U17" i="7" s="1"/>
  <c r="K20" i="7"/>
  <c r="L20" i="7" s="1"/>
  <c r="P20" i="7" s="1"/>
  <c r="O20" i="7"/>
  <c r="W20" i="7"/>
  <c r="N18" i="7" l="1"/>
  <c r="Q19" i="7"/>
  <c r="S19" i="7" s="1"/>
  <c r="U19" i="7" s="1"/>
  <c r="M20" i="7"/>
  <c r="Q20" i="7" s="1"/>
  <c r="K21" i="7"/>
  <c r="L21" i="7" s="1"/>
  <c r="P21" i="7" s="1"/>
  <c r="O21" i="7"/>
  <c r="W21" i="7"/>
  <c r="R18" i="7"/>
  <c r="T18" i="7" s="1"/>
  <c r="V18" i="7" s="1"/>
  <c r="S18" i="7"/>
  <c r="U18" i="7" s="1"/>
  <c r="R19" i="7" l="1"/>
  <c r="T19" i="7" s="1"/>
  <c r="V19" i="7" s="1"/>
  <c r="N20" i="7"/>
  <c r="M21" i="7"/>
  <c r="N21" i="7" s="1"/>
  <c r="K22" i="7"/>
  <c r="L22" i="7" s="1"/>
  <c r="P22" i="7" s="1"/>
  <c r="O22" i="7"/>
  <c r="W22" i="7"/>
  <c r="R20" i="7"/>
  <c r="S20" i="7"/>
  <c r="U20" i="7" s="1"/>
  <c r="Q21" i="7" l="1"/>
  <c r="S21" i="7" s="1"/>
  <c r="U21" i="7" s="1"/>
  <c r="M22" i="7"/>
  <c r="Q22" i="7" s="1"/>
  <c r="R21" i="7"/>
  <c r="T21" i="7" s="1"/>
  <c r="V21" i="7" s="1"/>
  <c r="K23" i="7"/>
  <c r="L23" i="7" s="1"/>
  <c r="P23" i="7" s="1"/>
  <c r="O23" i="7"/>
  <c r="W23" i="7"/>
  <c r="T20" i="7"/>
  <c r="V20" i="7" s="1"/>
  <c r="N22" i="7"/>
  <c r="M23" i="7" l="1"/>
  <c r="N23" i="7" s="1"/>
  <c r="W24" i="7"/>
  <c r="K24" i="7"/>
  <c r="L24" i="7" s="1"/>
  <c r="P24" i="7" s="1"/>
  <c r="O24" i="7"/>
  <c r="R22" i="7"/>
  <c r="S22" i="7"/>
  <c r="U22" i="7" s="1"/>
  <c r="Q23" i="7" l="1"/>
  <c r="S23" i="7" s="1"/>
  <c r="U23" i="7" s="1"/>
  <c r="M24" i="7"/>
  <c r="N24" i="7" s="1"/>
  <c r="W25" i="7"/>
  <c r="K25" i="7"/>
  <c r="L25" i="7" s="1"/>
  <c r="P25" i="7" s="1"/>
  <c r="O25" i="7"/>
  <c r="T22" i="7"/>
  <c r="V22" i="7" s="1"/>
  <c r="Q24" i="7" l="1"/>
  <c r="R24" i="7" s="1"/>
  <c r="S24" i="7"/>
  <c r="U24" i="7" s="1"/>
  <c r="R23" i="7"/>
  <c r="T23" i="7" s="1"/>
  <c r="V23" i="7" s="1"/>
  <c r="M25" i="7"/>
  <c r="K26" i="7"/>
  <c r="L26" i="7" s="1"/>
  <c r="P26" i="7" s="1"/>
  <c r="O26" i="7"/>
  <c r="W26" i="7"/>
  <c r="T24" i="7"/>
  <c r="V24" i="7" s="1"/>
  <c r="M26" i="7" l="1"/>
  <c r="Q26" i="7" s="1"/>
  <c r="N25" i="7"/>
  <c r="Q25" i="7"/>
  <c r="W27" i="7"/>
  <c r="K27" i="7"/>
  <c r="L27" i="7" s="1"/>
  <c r="P27" i="7" s="1"/>
  <c r="O27" i="7"/>
  <c r="N26" i="7" l="1"/>
  <c r="M27" i="7"/>
  <c r="N27" i="7" s="1"/>
  <c r="R25" i="7"/>
  <c r="T25" i="7" s="1"/>
  <c r="V25" i="7" s="1"/>
  <c r="S25" i="7"/>
  <c r="U25" i="7" s="1"/>
  <c r="K28" i="7"/>
  <c r="L28" i="7" s="1"/>
  <c r="P28" i="7" s="1"/>
  <c r="O28" i="7"/>
  <c r="W28" i="7"/>
  <c r="Q27" i="7"/>
  <c r="S27" i="7" s="1"/>
  <c r="R26" i="7"/>
  <c r="S26" i="7"/>
  <c r="U26" i="7" s="1"/>
  <c r="M28" i="7" l="1"/>
  <c r="N28" i="7" s="1"/>
  <c r="R27" i="7"/>
  <c r="W29" i="7"/>
  <c r="K29" i="7"/>
  <c r="L29" i="7" s="1"/>
  <c r="P29" i="7" s="1"/>
  <c r="O29" i="7"/>
  <c r="U27" i="7"/>
  <c r="T26" i="7"/>
  <c r="V26" i="7" s="1"/>
  <c r="T27" i="7"/>
  <c r="V27" i="7" s="1"/>
  <c r="Q28" i="7" l="1"/>
  <c r="S28" i="7" s="1"/>
  <c r="U28" i="7" s="1"/>
  <c r="M29" i="7"/>
  <c r="N29" i="7" s="1"/>
  <c r="K30" i="7"/>
  <c r="L30" i="7" s="1"/>
  <c r="P30" i="7" s="1"/>
  <c r="O30" i="7"/>
  <c r="W30" i="7"/>
  <c r="M30" i="7" l="1"/>
  <c r="N30" i="7" s="1"/>
  <c r="Q29" i="7"/>
  <c r="S29" i="7" s="1"/>
  <c r="U29" i="7" s="1"/>
  <c r="R28" i="7"/>
  <c r="T28" i="7" s="1"/>
  <c r="V28" i="7" s="1"/>
  <c r="K31" i="7"/>
  <c r="L31" i="7" s="1"/>
  <c r="P31" i="7" s="1"/>
  <c r="O31" i="7"/>
  <c r="W31" i="7"/>
  <c r="Q30" i="7"/>
  <c r="R29" i="7" l="1"/>
  <c r="M31" i="7"/>
  <c r="Q31" i="7" s="1"/>
  <c r="S31" i="7" s="1"/>
  <c r="U31" i="7" s="1"/>
  <c r="K32" i="7"/>
  <c r="L32" i="7" s="1"/>
  <c r="P32" i="7" s="1"/>
  <c r="O32" i="7"/>
  <c r="W32" i="7"/>
  <c r="R30" i="7"/>
  <c r="S30" i="7"/>
  <c r="U30" i="7" s="1"/>
  <c r="T29" i="7"/>
  <c r="V29" i="7" s="1"/>
  <c r="R31" i="7" l="1"/>
  <c r="T31" i="7" s="1"/>
  <c r="V31" i="7" s="1"/>
  <c r="N31" i="7"/>
  <c r="M32" i="7"/>
  <c r="N32" i="7" s="1"/>
  <c r="K33" i="7"/>
  <c r="L33" i="7" s="1"/>
  <c r="P33" i="7" s="1"/>
  <c r="W33" i="7"/>
  <c r="O33" i="7"/>
  <c r="T30" i="7"/>
  <c r="V30" i="7" s="1"/>
  <c r="Q32" i="7" l="1"/>
  <c r="R32" i="7" s="1"/>
  <c r="M33" i="7"/>
  <c r="W34" i="7"/>
  <c r="K34" i="7"/>
  <c r="O34" i="7"/>
  <c r="S32" i="7" l="1"/>
  <c r="U32" i="7" s="1"/>
  <c r="K35" i="7"/>
  <c r="L35" i="7" s="1"/>
  <c r="P35" i="7" s="1"/>
  <c r="W35" i="7"/>
  <c r="O35" i="7"/>
  <c r="L34" i="7"/>
  <c r="P34" i="7" s="1"/>
  <c r="N33" i="7"/>
  <c r="Q33" i="7"/>
  <c r="M35" i="7"/>
  <c r="T32" i="7"/>
  <c r="V32" i="7" s="1"/>
  <c r="M34" i="7" l="1"/>
  <c r="S33" i="7"/>
  <c r="U33" i="7" s="1"/>
  <c r="R33" i="7"/>
  <c r="T33" i="7" s="1"/>
  <c r="V33" i="7" s="1"/>
  <c r="K36" i="7"/>
  <c r="L36" i="7" s="1"/>
  <c r="P36" i="7" s="1"/>
  <c r="O36" i="7"/>
  <c r="W36" i="7"/>
  <c r="N35" i="7"/>
  <c r="Q35" i="7"/>
  <c r="M36" i="7" l="1"/>
  <c r="Q36" i="7" s="1"/>
  <c r="K37" i="7"/>
  <c r="L37" i="7" s="1"/>
  <c r="P37" i="7" s="1"/>
  <c r="W37" i="7"/>
  <c r="O37" i="7"/>
  <c r="N34" i="7"/>
  <c r="Q34" i="7"/>
  <c r="S35" i="7"/>
  <c r="U35" i="7" s="1"/>
  <c r="R35" i="7"/>
  <c r="N36" i="7"/>
  <c r="M37" i="7" l="1"/>
  <c r="Q37" i="7" s="1"/>
  <c r="R34" i="7"/>
  <c r="T34" i="7" s="1"/>
  <c r="V34" i="7" s="1"/>
  <c r="S34" i="7"/>
  <c r="U34" i="7" s="1"/>
  <c r="W38" i="7"/>
  <c r="K38" i="7"/>
  <c r="L38" i="7" s="1"/>
  <c r="P38" i="7" s="1"/>
  <c r="O38" i="7"/>
  <c r="R36" i="7"/>
  <c r="S36" i="7"/>
  <c r="U36" i="7" s="1"/>
  <c r="T35" i="7"/>
  <c r="V35" i="7" s="1"/>
  <c r="N37" i="7" l="1"/>
  <c r="M38" i="7"/>
  <c r="N38" i="7" s="1"/>
  <c r="O39" i="7"/>
  <c r="W39" i="7"/>
  <c r="K39" i="7"/>
  <c r="L39" i="7" s="1"/>
  <c r="P39" i="7" s="1"/>
  <c r="T36" i="7"/>
  <c r="V36" i="7" s="1"/>
  <c r="S37" i="7"/>
  <c r="U37" i="7" s="1"/>
  <c r="R37" i="7"/>
  <c r="Q38" i="7" l="1"/>
  <c r="M39" i="7"/>
  <c r="N39" i="7" s="1"/>
  <c r="W40" i="7"/>
  <c r="K40" i="7"/>
  <c r="L40" i="7" s="1"/>
  <c r="P40" i="7" s="1"/>
  <c r="O40" i="7"/>
  <c r="R38" i="7"/>
  <c r="S38" i="7"/>
  <c r="U38" i="7" s="1"/>
  <c r="T37" i="7"/>
  <c r="V37" i="7" s="1"/>
  <c r="Q39" i="7" l="1"/>
  <c r="S39" i="7" s="1"/>
  <c r="U39" i="7" s="1"/>
  <c r="M40" i="7"/>
  <c r="W41" i="7"/>
  <c r="K41" i="7"/>
  <c r="L41" i="7" s="1"/>
  <c r="P41" i="7" s="1"/>
  <c r="O41" i="7"/>
  <c r="T38" i="7"/>
  <c r="V38" i="7" s="1"/>
  <c r="R39" i="7" l="1"/>
  <c r="T39" i="7" s="1"/>
  <c r="V39" i="7" s="1"/>
  <c r="M41" i="7"/>
  <c r="N40" i="7"/>
  <c r="Q40" i="7"/>
  <c r="K42" i="7"/>
  <c r="L42" i="7" s="1"/>
  <c r="P42" i="7" s="1"/>
  <c r="O42" i="7"/>
  <c r="W42" i="7"/>
  <c r="M42" i="7" l="1"/>
  <c r="Q42" i="7" s="1"/>
  <c r="R42" i="7" s="1"/>
  <c r="R40" i="7"/>
  <c r="T40" i="7" s="1"/>
  <c r="V40" i="7" s="1"/>
  <c r="S40" i="7"/>
  <c r="U40" i="7" s="1"/>
  <c r="N41" i="7"/>
  <c r="Q41" i="7"/>
  <c r="K43" i="7"/>
  <c r="L43" i="7" s="1"/>
  <c r="P43" i="7" s="1"/>
  <c r="O43" i="7"/>
  <c r="W43" i="7"/>
  <c r="S42" i="7"/>
  <c r="U42" i="7" s="1"/>
  <c r="N42" i="7" l="1"/>
  <c r="R41" i="7"/>
  <c r="T41" i="7" s="1"/>
  <c r="V41" i="7" s="1"/>
  <c r="S41" i="7"/>
  <c r="U41" i="7" s="1"/>
  <c r="M43" i="7"/>
  <c r="N43" i="7" s="1"/>
  <c r="K44" i="7"/>
  <c r="O44" i="7"/>
  <c r="W44" i="7"/>
  <c r="T42" i="7"/>
  <c r="V42" i="7" s="1"/>
  <c r="Q43" i="7" l="1"/>
  <c r="S43" i="7" s="1"/>
  <c r="U43" i="7" s="1"/>
  <c r="O45" i="7"/>
  <c r="K45" i="7"/>
  <c r="W45" i="7"/>
  <c r="L44" i="7"/>
  <c r="P44" i="7" s="1"/>
  <c r="W46" i="7" l="1"/>
  <c r="O46" i="7"/>
  <c r="K46" i="7"/>
  <c r="R43" i="7"/>
  <c r="T43" i="7" s="1"/>
  <c r="V43" i="7" s="1"/>
  <c r="M44" i="7"/>
  <c r="L45" i="7"/>
  <c r="L46" i="7" l="1"/>
  <c r="P46" i="7" s="1"/>
  <c r="M46" i="7"/>
  <c r="W47" i="7"/>
  <c r="O47" i="7"/>
  <c r="K47" i="7"/>
  <c r="P45" i="7"/>
  <c r="M45" i="7"/>
  <c r="N44" i="7"/>
  <c r="Q44" i="7"/>
  <c r="Q46" i="7" l="1"/>
  <c r="N46" i="7"/>
  <c r="L47" i="7"/>
  <c r="M47" i="7" s="1"/>
  <c r="W48" i="7"/>
  <c r="K48" i="7"/>
  <c r="O48" i="7"/>
  <c r="Q45" i="7"/>
  <c r="N45" i="7"/>
  <c r="R44" i="7"/>
  <c r="T44" i="7" s="1"/>
  <c r="V44" i="7" s="1"/>
  <c r="S44" i="7"/>
  <c r="U44" i="7" s="1"/>
  <c r="W49" i="7" l="1"/>
  <c r="K49" i="7"/>
  <c r="O49" i="7"/>
  <c r="P47" i="7"/>
  <c r="S46" i="7"/>
  <c r="U46" i="7" s="1"/>
  <c r="R46" i="7"/>
  <c r="T46" i="7" s="1"/>
  <c r="V46" i="7" s="1"/>
  <c r="L48" i="7"/>
  <c r="P48" i="7" s="1"/>
  <c r="M48" i="7"/>
  <c r="N47" i="7"/>
  <c r="R45" i="7"/>
  <c r="S45" i="7"/>
  <c r="N48" i="7" l="1"/>
  <c r="Q48" i="7"/>
  <c r="L49" i="7"/>
  <c r="P49" i="7" s="1"/>
  <c r="Q47" i="7"/>
  <c r="W50" i="7"/>
  <c r="O50" i="7"/>
  <c r="K50" i="7"/>
  <c r="U45" i="7"/>
  <c r="T45" i="7"/>
  <c r="M49" i="7" l="1"/>
  <c r="W51" i="7"/>
  <c r="O51" i="7"/>
  <c r="K51" i="7"/>
  <c r="S48" i="7"/>
  <c r="U48" i="7" s="1"/>
  <c r="R48" i="7"/>
  <c r="T48" i="7" s="1"/>
  <c r="V48" i="7" s="1"/>
  <c r="R47" i="7"/>
  <c r="S47" i="7"/>
  <c r="L50" i="7"/>
  <c r="M50" i="7"/>
  <c r="V45" i="7"/>
  <c r="U47" i="7" l="1"/>
  <c r="L51" i="7"/>
  <c r="P51" i="7" s="1"/>
  <c r="N49" i="7"/>
  <c r="N50" i="7"/>
  <c r="P50" i="7"/>
  <c r="Q49" i="7"/>
  <c r="T47" i="7"/>
  <c r="W52" i="7"/>
  <c r="K52" i="7"/>
  <c r="O52" i="7"/>
  <c r="M51" i="7" l="1"/>
  <c r="N51" i="7" s="1"/>
  <c r="Q51" i="7"/>
  <c r="W53" i="7"/>
  <c r="O53" i="7"/>
  <c r="K53" i="7"/>
  <c r="L52" i="7"/>
  <c r="M52" i="7"/>
  <c r="V47" i="7"/>
  <c r="R49" i="7"/>
  <c r="S49" i="7"/>
  <c r="Q50" i="7"/>
  <c r="D30" i="9"/>
  <c r="U49" i="7" l="1"/>
  <c r="R51" i="7"/>
  <c r="T51" i="7" s="1"/>
  <c r="V51" i="7" s="1"/>
  <c r="S51" i="7"/>
  <c r="U51" i="7" s="1"/>
  <c r="P52" i="7"/>
  <c r="S50" i="7"/>
  <c r="U50" i="7" s="1"/>
  <c r="R50" i="7"/>
  <c r="T50" i="7" s="1"/>
  <c r="V50" i="7" s="1"/>
  <c r="T49" i="7"/>
  <c r="L53" i="7"/>
  <c r="P53" i="7" s="1"/>
  <c r="N52" i="7"/>
  <c r="Q52" i="7"/>
  <c r="W54" i="7"/>
  <c r="O54" i="7"/>
  <c r="K54" i="7"/>
  <c r="D25" i="8"/>
  <c r="M14" i="8" s="1"/>
  <c r="M33" i="8" l="1"/>
  <c r="D16" i="8"/>
  <c r="D17" i="8" s="1"/>
  <c r="K11" i="8" s="1"/>
  <c r="L11" i="8" s="1"/>
  <c r="I11" i="8" s="1"/>
  <c r="M38" i="8"/>
  <c r="M24" i="8"/>
  <c r="M44" i="8"/>
  <c r="M40" i="8"/>
  <c r="M29" i="8"/>
  <c r="M45" i="8"/>
  <c r="M34" i="8"/>
  <c r="M18" i="8"/>
  <c r="M53" i="7"/>
  <c r="Q53" i="7" s="1"/>
  <c r="M28" i="8"/>
  <c r="M32" i="8"/>
  <c r="M21" i="8"/>
  <c r="M16" i="8"/>
  <c r="M22" i="8"/>
  <c r="M17" i="8"/>
  <c r="M42" i="8"/>
  <c r="M37" i="8"/>
  <c r="M26" i="8"/>
  <c r="M46" i="8"/>
  <c r="M41" i="8"/>
  <c r="M36" i="8"/>
  <c r="M30" i="8"/>
  <c r="M25" i="8"/>
  <c r="M20" i="8"/>
  <c r="M11" i="8"/>
  <c r="M71" i="8"/>
  <c r="M80" i="8"/>
  <c r="M78" i="8"/>
  <c r="M63" i="8"/>
  <c r="M72" i="8"/>
  <c r="M64" i="8"/>
  <c r="M76" i="8"/>
  <c r="M68" i="8"/>
  <c r="M62" i="8"/>
  <c r="M70" i="8"/>
  <c r="M61" i="8"/>
  <c r="M75" i="8"/>
  <c r="M73" i="8"/>
  <c r="M67" i="8"/>
  <c r="M65" i="8"/>
  <c r="M79" i="8"/>
  <c r="M81" i="8"/>
  <c r="M66" i="8"/>
  <c r="M77" i="8"/>
  <c r="M74" i="8"/>
  <c r="M82" i="8"/>
  <c r="M69" i="8"/>
  <c r="M55" i="8"/>
  <c r="M54" i="8"/>
  <c r="M50" i="8"/>
  <c r="M51" i="8"/>
  <c r="M56" i="8"/>
  <c r="M52" i="8"/>
  <c r="M59" i="8"/>
  <c r="M57" i="8"/>
  <c r="M53" i="8"/>
  <c r="M49" i="8"/>
  <c r="M47" i="8"/>
  <c r="M60" i="8"/>
  <c r="M58" i="8"/>
  <c r="M48" i="8"/>
  <c r="M43" i="8"/>
  <c r="M39" i="8"/>
  <c r="M35" i="8"/>
  <c r="M31" i="8"/>
  <c r="M27" i="8"/>
  <c r="M23" i="8"/>
  <c r="M19" i="8"/>
  <c r="M15" i="8"/>
  <c r="L54" i="7"/>
  <c r="P54" i="7" s="1"/>
  <c r="R52" i="7"/>
  <c r="S52" i="7"/>
  <c r="U52" i="7" s="1"/>
  <c r="V49" i="7"/>
  <c r="W55" i="7"/>
  <c r="K55" i="7"/>
  <c r="O55" i="7"/>
  <c r="N11" i="8"/>
  <c r="M13" i="8"/>
  <c r="M12" i="8"/>
  <c r="E17" i="8" l="1"/>
  <c r="M54" i="7"/>
  <c r="N53" i="7"/>
  <c r="I52" i="11"/>
  <c r="I55" i="11"/>
  <c r="T52" i="7"/>
  <c r="W56" i="7"/>
  <c r="K56" i="7"/>
  <c r="O56" i="7"/>
  <c r="Q54" i="7"/>
  <c r="N54" i="7"/>
  <c r="R53" i="7"/>
  <c r="T53" i="7" s="1"/>
  <c r="V53" i="7" s="1"/>
  <c r="S53" i="7"/>
  <c r="U53" i="7" s="1"/>
  <c r="L55" i="7"/>
  <c r="P55" i="7" s="1"/>
  <c r="AC5" i="11"/>
  <c r="M4" i="8"/>
  <c r="M3" i="8"/>
  <c r="J11" i="8"/>
  <c r="O11" i="8" s="1"/>
  <c r="R54" i="7" l="1"/>
  <c r="S54" i="7"/>
  <c r="U54" i="7" s="1"/>
  <c r="W57" i="7"/>
  <c r="O57" i="7"/>
  <c r="K57" i="7"/>
  <c r="V52" i="7"/>
  <c r="M55" i="7"/>
  <c r="L56" i="7"/>
  <c r="P56" i="7" s="1"/>
  <c r="W12" i="8"/>
  <c r="K12" i="8"/>
  <c r="P11" i="8"/>
  <c r="Q11" i="8" s="1"/>
  <c r="D24" i="8"/>
  <c r="D27" i="8"/>
  <c r="D28" i="8" s="1"/>
  <c r="D29" i="8" s="1"/>
  <c r="M56" i="7" l="1"/>
  <c r="W58" i="7"/>
  <c r="K58" i="7"/>
  <c r="O58" i="7"/>
  <c r="T54" i="7"/>
  <c r="Q56" i="7"/>
  <c r="N56" i="7"/>
  <c r="Q55" i="7"/>
  <c r="N55" i="7"/>
  <c r="L57" i="7"/>
  <c r="P57" i="7" s="1"/>
  <c r="M57" i="7"/>
  <c r="L12" i="8"/>
  <c r="N12" i="8"/>
  <c r="R56" i="7" l="1"/>
  <c r="T56" i="7" s="1"/>
  <c r="V56" i="7" s="1"/>
  <c r="S56" i="7"/>
  <c r="U56" i="7" s="1"/>
  <c r="Q57" i="7"/>
  <c r="N57" i="7"/>
  <c r="L58" i="7"/>
  <c r="P58" i="7" s="1"/>
  <c r="R55" i="7"/>
  <c r="S55" i="7"/>
  <c r="U55" i="7" s="1"/>
  <c r="W59" i="7"/>
  <c r="K59" i="7"/>
  <c r="O59" i="7"/>
  <c r="V54" i="7"/>
  <c r="AC6" i="11"/>
  <c r="R11" i="8"/>
  <c r="I12" i="8"/>
  <c r="W60" i="7" l="1"/>
  <c r="O60" i="7"/>
  <c r="K60" i="7"/>
  <c r="L59" i="7"/>
  <c r="P59" i="7" s="1"/>
  <c r="T55" i="7"/>
  <c r="R57" i="7"/>
  <c r="T57" i="7" s="1"/>
  <c r="V57" i="7" s="1"/>
  <c r="S57" i="7"/>
  <c r="U57" i="7" s="1"/>
  <c r="M58" i="7"/>
  <c r="J12" i="8"/>
  <c r="O12" i="8" s="1"/>
  <c r="M59" i="7" l="1"/>
  <c r="Q59" i="7"/>
  <c r="N59" i="7"/>
  <c r="W61" i="7"/>
  <c r="O61" i="7"/>
  <c r="K61" i="7"/>
  <c r="Q58" i="7"/>
  <c r="N58" i="7"/>
  <c r="V55" i="7"/>
  <c r="L60" i="7"/>
  <c r="P60" i="7" s="1"/>
  <c r="W13" i="8"/>
  <c r="K13" i="8"/>
  <c r="P12" i="8"/>
  <c r="M60" i="7" l="1"/>
  <c r="Q60" i="7" s="1"/>
  <c r="W62" i="7"/>
  <c r="K62" i="7"/>
  <c r="O62" i="7"/>
  <c r="R58" i="7"/>
  <c r="T58" i="7" s="1"/>
  <c r="V58" i="7" s="1"/>
  <c r="S58" i="7"/>
  <c r="U58" i="7" s="1"/>
  <c r="L61" i="7"/>
  <c r="P61" i="7" s="1"/>
  <c r="S59" i="7"/>
  <c r="U59" i="7" s="1"/>
  <c r="R59" i="7"/>
  <c r="T59" i="7" s="1"/>
  <c r="V59" i="7" s="1"/>
  <c r="Q12" i="8"/>
  <c r="L13" i="8"/>
  <c r="N13" i="8"/>
  <c r="N60" i="7" l="1"/>
  <c r="M61" i="7"/>
  <c r="W63" i="7"/>
  <c r="K63" i="7"/>
  <c r="O63" i="7"/>
  <c r="S60" i="7"/>
  <c r="U60" i="7" s="1"/>
  <c r="R60" i="7"/>
  <c r="T60" i="7" s="1"/>
  <c r="V60" i="7" s="1"/>
  <c r="L62" i="7"/>
  <c r="P62" i="7" s="1"/>
  <c r="N61" i="7"/>
  <c r="Q61" i="7"/>
  <c r="AC7" i="11"/>
  <c r="I13" i="8"/>
  <c r="R12" i="8"/>
  <c r="S11" i="8"/>
  <c r="S12" i="8"/>
  <c r="U12" i="8" s="1"/>
  <c r="M62" i="7" l="1"/>
  <c r="L63" i="7"/>
  <c r="P63" i="7" s="1"/>
  <c r="M63" i="7"/>
  <c r="N62" i="7"/>
  <c r="Q62" i="7"/>
  <c r="W64" i="7"/>
  <c r="K64" i="7"/>
  <c r="O64" i="7"/>
  <c r="R61" i="7"/>
  <c r="T61" i="7" s="1"/>
  <c r="V61" i="7" s="1"/>
  <c r="S61" i="7"/>
  <c r="U61" i="7" s="1"/>
  <c r="U11" i="8"/>
  <c r="T12" i="8"/>
  <c r="V12" i="8" s="1"/>
  <c r="T11" i="8"/>
  <c r="J13" i="8"/>
  <c r="O13" i="8" s="1"/>
  <c r="R62" i="7" l="1"/>
  <c r="T62" i="7" s="1"/>
  <c r="V62" i="7" s="1"/>
  <c r="S62" i="7"/>
  <c r="U62" i="7" s="1"/>
  <c r="W65" i="7"/>
  <c r="O65" i="7"/>
  <c r="K65" i="7"/>
  <c r="L64" i="7"/>
  <c r="P64" i="7" s="1"/>
  <c r="M64" i="7"/>
  <c r="Q63" i="7"/>
  <c r="N63" i="7"/>
  <c r="W14" i="8"/>
  <c r="K14" i="8"/>
  <c r="P13" i="8"/>
  <c r="V11" i="8"/>
  <c r="Q64" i="7" l="1"/>
  <c r="N64" i="7"/>
  <c r="R63" i="7"/>
  <c r="T63" i="7" s="1"/>
  <c r="V63" i="7" s="1"/>
  <c r="S63" i="7"/>
  <c r="U63" i="7" s="1"/>
  <c r="W66" i="7"/>
  <c r="K66" i="7"/>
  <c r="O66" i="7"/>
  <c r="L65" i="7"/>
  <c r="P65" i="7" s="1"/>
  <c r="Q13" i="8"/>
  <c r="L14" i="8"/>
  <c r="N14" i="8"/>
  <c r="W67" i="7" l="1"/>
  <c r="O67" i="7"/>
  <c r="K67" i="7"/>
  <c r="L66" i="7"/>
  <c r="P66" i="7" s="1"/>
  <c r="M65" i="7"/>
  <c r="R64" i="7"/>
  <c r="T64" i="7" s="1"/>
  <c r="V64" i="7" s="1"/>
  <c r="S64" i="7"/>
  <c r="U64" i="7" s="1"/>
  <c r="I14" i="8"/>
  <c r="R13" i="8"/>
  <c r="S13" i="8"/>
  <c r="U13" i="8" s="1"/>
  <c r="AC8" i="11"/>
  <c r="M66" i="7" l="1"/>
  <c r="Q65" i="7"/>
  <c r="N65" i="7"/>
  <c r="W68" i="7"/>
  <c r="O68" i="7"/>
  <c r="K68" i="7"/>
  <c r="Q66" i="7"/>
  <c r="N66" i="7"/>
  <c r="L67" i="7"/>
  <c r="P67" i="7" s="1"/>
  <c r="T13" i="8"/>
  <c r="J14" i="8"/>
  <c r="O14" i="8" s="1"/>
  <c r="M67" i="7" l="1"/>
  <c r="W69" i="7"/>
  <c r="O69" i="7"/>
  <c r="K69" i="7"/>
  <c r="R66" i="7"/>
  <c r="T66" i="7" s="1"/>
  <c r="V66" i="7" s="1"/>
  <c r="S66" i="7"/>
  <c r="U66" i="7" s="1"/>
  <c r="Q67" i="7"/>
  <c r="N67" i="7"/>
  <c r="L68" i="7"/>
  <c r="P68" i="7" s="1"/>
  <c r="S65" i="7"/>
  <c r="U65" i="7" s="1"/>
  <c r="R65" i="7"/>
  <c r="T65" i="7" s="1"/>
  <c r="V65" i="7" s="1"/>
  <c r="W15" i="8"/>
  <c r="K15" i="8"/>
  <c r="P14" i="8"/>
  <c r="V13" i="8"/>
  <c r="S67" i="7" l="1"/>
  <c r="U67" i="7" s="1"/>
  <c r="R67" i="7"/>
  <c r="T67" i="7" s="1"/>
  <c r="V67" i="7" s="1"/>
  <c r="W70" i="7"/>
  <c r="K70" i="7"/>
  <c r="O70" i="7"/>
  <c r="L69" i="7"/>
  <c r="P69" i="7" s="1"/>
  <c r="M69" i="7"/>
  <c r="M68" i="7"/>
  <c r="Q14" i="8"/>
  <c r="L15" i="8"/>
  <c r="N15" i="8"/>
  <c r="W71" i="7" l="1"/>
  <c r="O71" i="7"/>
  <c r="K71" i="7"/>
  <c r="Q68" i="7"/>
  <c r="N68" i="7"/>
  <c r="L70" i="7"/>
  <c r="P70" i="7" s="1"/>
  <c r="Q69" i="7"/>
  <c r="N69" i="7"/>
  <c r="AC9" i="11"/>
  <c r="I15" i="8"/>
  <c r="R14" i="8"/>
  <c r="S14" i="8"/>
  <c r="R69" i="7" l="1"/>
  <c r="T69" i="7" s="1"/>
  <c r="V69" i="7" s="1"/>
  <c r="S69" i="7"/>
  <c r="U69" i="7" s="1"/>
  <c r="R68" i="7"/>
  <c r="T68" i="7" s="1"/>
  <c r="V68" i="7" s="1"/>
  <c r="S68" i="7"/>
  <c r="U68" i="7" s="1"/>
  <c r="L71" i="7"/>
  <c r="P71" i="7" s="1"/>
  <c r="M70" i="7"/>
  <c r="W72" i="7"/>
  <c r="K72" i="7"/>
  <c r="O72" i="7"/>
  <c r="T14" i="8"/>
  <c r="V14" i="8" s="1"/>
  <c r="J15" i="8"/>
  <c r="O15" i="8" s="1"/>
  <c r="U14" i="8"/>
  <c r="L72" i="7" l="1"/>
  <c r="P72" i="7" s="1"/>
  <c r="M72" i="7"/>
  <c r="Q70" i="7"/>
  <c r="N70" i="7"/>
  <c r="W73" i="7"/>
  <c r="O73" i="7"/>
  <c r="K73" i="7"/>
  <c r="M71" i="7"/>
  <c r="W16" i="8"/>
  <c r="K16" i="8"/>
  <c r="P15" i="8"/>
  <c r="N71" i="7" l="1"/>
  <c r="Q71" i="7"/>
  <c r="W74" i="7"/>
  <c r="O74" i="7"/>
  <c r="K74" i="7"/>
  <c r="L73" i="7"/>
  <c r="P73" i="7" s="1"/>
  <c r="M73" i="7"/>
  <c r="R70" i="7"/>
  <c r="T70" i="7" s="1"/>
  <c r="V70" i="7" s="1"/>
  <c r="S70" i="7"/>
  <c r="U70" i="7" s="1"/>
  <c r="Q72" i="7"/>
  <c r="N72" i="7"/>
  <c r="Q15" i="8"/>
  <c r="L16" i="8"/>
  <c r="N16" i="8"/>
  <c r="AC10" i="11" s="1"/>
  <c r="W75" i="7" l="1"/>
  <c r="K75" i="7"/>
  <c r="O75" i="7"/>
  <c r="Q73" i="7"/>
  <c r="N73" i="7"/>
  <c r="R72" i="7"/>
  <c r="T72" i="7" s="1"/>
  <c r="V72" i="7" s="1"/>
  <c r="S72" i="7"/>
  <c r="U72" i="7" s="1"/>
  <c r="R71" i="7"/>
  <c r="T71" i="7" s="1"/>
  <c r="V71" i="7" s="1"/>
  <c r="S71" i="7"/>
  <c r="U71" i="7" s="1"/>
  <c r="L74" i="7"/>
  <c r="P74" i="7" s="1"/>
  <c r="I16" i="8"/>
  <c r="R15" i="8"/>
  <c r="S15" i="8"/>
  <c r="U15" i="8" s="1"/>
  <c r="R73" i="7" l="1"/>
  <c r="T73" i="7" s="1"/>
  <c r="V73" i="7" s="1"/>
  <c r="S73" i="7"/>
  <c r="U73" i="7" s="1"/>
  <c r="W76" i="7"/>
  <c r="O76" i="7"/>
  <c r="K76" i="7"/>
  <c r="M74" i="7"/>
  <c r="L75" i="7"/>
  <c r="P75" i="7" s="1"/>
  <c r="M75" i="7"/>
  <c r="T15" i="8"/>
  <c r="V15" i="8" s="1"/>
  <c r="J16" i="8"/>
  <c r="P16" i="8" s="1"/>
  <c r="Q16" i="8" s="1"/>
  <c r="W77" i="7" l="1"/>
  <c r="K77" i="7"/>
  <c r="O77" i="7"/>
  <c r="Q74" i="7"/>
  <c r="N74" i="7"/>
  <c r="Q75" i="7"/>
  <c r="N75" i="7"/>
  <c r="L76" i="7"/>
  <c r="P76" i="7" s="1"/>
  <c r="O16" i="8"/>
  <c r="W17" i="8" s="1"/>
  <c r="N17" i="8" s="1"/>
  <c r="AC11" i="11" s="1"/>
  <c r="R16" i="8"/>
  <c r="S16" i="8"/>
  <c r="U16" i="8" s="1"/>
  <c r="K17" i="8" l="1"/>
  <c r="L17" i="8" s="1"/>
  <c r="I17" i="8" s="1"/>
  <c r="J17" i="8" s="1"/>
  <c r="P17" i="8" s="1"/>
  <c r="Q17" i="8" s="1"/>
  <c r="S75" i="7"/>
  <c r="U75" i="7" s="1"/>
  <c r="R75" i="7"/>
  <c r="T75" i="7" s="1"/>
  <c r="V75" i="7" s="1"/>
  <c r="L77" i="7"/>
  <c r="P77" i="7" s="1"/>
  <c r="M77" i="7"/>
  <c r="R74" i="7"/>
  <c r="T74" i="7" s="1"/>
  <c r="V74" i="7" s="1"/>
  <c r="S74" i="7"/>
  <c r="U74" i="7" s="1"/>
  <c r="W78" i="7"/>
  <c r="K78" i="7"/>
  <c r="O78" i="7"/>
  <c r="M76" i="7"/>
  <c r="T16" i="8"/>
  <c r="V16" i="8" s="1"/>
  <c r="R17" i="8"/>
  <c r="S17" i="8"/>
  <c r="U17" i="8" s="1"/>
  <c r="O17" i="8"/>
  <c r="W79" i="7" l="1"/>
  <c r="K79" i="7"/>
  <c r="O79" i="7"/>
  <c r="M78" i="7"/>
  <c r="L78" i="7"/>
  <c r="P78" i="7" s="1"/>
  <c r="N77" i="7"/>
  <c r="Q77" i="7"/>
  <c r="Q76" i="7"/>
  <c r="N76" i="7"/>
  <c r="W18" i="8"/>
  <c r="N18" i="8" s="1"/>
  <c r="AC12" i="11" s="1"/>
  <c r="K18" i="8"/>
  <c r="L18" i="8" s="1"/>
  <c r="I18" i="8" s="1"/>
  <c r="J18" i="8" s="1"/>
  <c r="P18" i="8" s="1"/>
  <c r="Q18" i="8" s="1"/>
  <c r="T17" i="8"/>
  <c r="V17" i="8" s="1"/>
  <c r="O18" i="8" l="1"/>
  <c r="W19" i="8" s="1"/>
  <c r="N19" i="8" s="1"/>
  <c r="AC13" i="11" s="1"/>
  <c r="N78" i="7"/>
  <c r="Q78" i="7"/>
  <c r="L79" i="7"/>
  <c r="P79" i="7" s="1"/>
  <c r="R76" i="7"/>
  <c r="T76" i="7" s="1"/>
  <c r="V76" i="7" s="1"/>
  <c r="S76" i="7"/>
  <c r="U76" i="7" s="1"/>
  <c r="R77" i="7"/>
  <c r="T77" i="7" s="1"/>
  <c r="V77" i="7" s="1"/>
  <c r="S77" i="7"/>
  <c r="U77" i="7" s="1"/>
  <c r="W80" i="7"/>
  <c r="K80" i="7"/>
  <c r="O80" i="7"/>
  <c r="R18" i="8"/>
  <c r="S18" i="8"/>
  <c r="U18" i="8" s="1"/>
  <c r="M79" i="7" l="1"/>
  <c r="K19" i="8"/>
  <c r="L19" i="8" s="1"/>
  <c r="I19" i="8" s="1"/>
  <c r="J19" i="8" s="1"/>
  <c r="P19" i="8" s="1"/>
  <c r="Q19" i="8" s="1"/>
  <c r="R19" i="8" s="1"/>
  <c r="Q79" i="7"/>
  <c r="N79" i="7"/>
  <c r="W81" i="7"/>
  <c r="W4" i="7" s="1"/>
  <c r="K81" i="7"/>
  <c r="O81" i="7"/>
  <c r="L80" i="7"/>
  <c r="P80" i="7" s="1"/>
  <c r="M80" i="7"/>
  <c r="R78" i="7"/>
  <c r="T78" i="7" s="1"/>
  <c r="V78" i="7" s="1"/>
  <c r="S78" i="7"/>
  <c r="U78" i="7" s="1"/>
  <c r="S19" i="8"/>
  <c r="U19" i="8" s="1"/>
  <c r="T18" i="8"/>
  <c r="V18" i="8" s="1"/>
  <c r="O19" i="8" l="1"/>
  <c r="R79" i="7"/>
  <c r="T79" i="7" s="1"/>
  <c r="V79" i="7" s="1"/>
  <c r="S79" i="7"/>
  <c r="U79" i="7" s="1"/>
  <c r="L81" i="7"/>
  <c r="M81" i="7" s="1"/>
  <c r="K4" i="7"/>
  <c r="Q80" i="7"/>
  <c r="N80" i="7"/>
  <c r="W20" i="8"/>
  <c r="N20" i="8" s="1"/>
  <c r="AC14" i="11" s="1"/>
  <c r="K20" i="8"/>
  <c r="L20" i="8" s="1"/>
  <c r="I20" i="8" s="1"/>
  <c r="J20" i="8" s="1"/>
  <c r="P20" i="8" s="1"/>
  <c r="Q20" i="8" s="1"/>
  <c r="T19" i="8"/>
  <c r="V19" i="8" s="1"/>
  <c r="N81" i="7" l="1"/>
  <c r="M4" i="7"/>
  <c r="M3" i="7"/>
  <c r="P81" i="7"/>
  <c r="P4" i="7" s="1"/>
  <c r="L4" i="7"/>
  <c r="R80" i="7"/>
  <c r="T80" i="7" s="1"/>
  <c r="V80" i="7" s="1"/>
  <c r="S80" i="7"/>
  <c r="U80" i="7" s="1"/>
  <c r="O20" i="8"/>
  <c r="W21" i="8" s="1"/>
  <c r="N21" i="8" s="1"/>
  <c r="AC15" i="11" s="1"/>
  <c r="R20" i="8"/>
  <c r="S20" i="8"/>
  <c r="U20" i="8" s="1"/>
  <c r="K21" i="8" l="1"/>
  <c r="L21" i="8" s="1"/>
  <c r="I21" i="8" s="1"/>
  <c r="J21" i="8" s="1"/>
  <c r="P21" i="8" s="1"/>
  <c r="Q21" i="8" s="1"/>
  <c r="R21" i="8" s="1"/>
  <c r="D23" i="7"/>
  <c r="D24" i="7"/>
  <c r="D25" i="7" s="1"/>
  <c r="D26" i="7" s="1"/>
  <c r="Q81" i="7"/>
  <c r="N4" i="7"/>
  <c r="N3" i="7"/>
  <c r="T20" i="8"/>
  <c r="V20" i="8" s="1"/>
  <c r="S21" i="8" l="1"/>
  <c r="U21" i="8" s="1"/>
  <c r="O21" i="8"/>
  <c r="S81" i="7"/>
  <c r="R81" i="7"/>
  <c r="Q4" i="7"/>
  <c r="Q3" i="7"/>
  <c r="T21" i="8"/>
  <c r="V21" i="8" s="1"/>
  <c r="K22" i="8" l="1"/>
  <c r="L22" i="8" s="1"/>
  <c r="I22" i="8" s="1"/>
  <c r="W22" i="8"/>
  <c r="N22" i="8" s="1"/>
  <c r="AC16" i="11" s="1"/>
  <c r="T81" i="7"/>
  <c r="R4" i="7"/>
  <c r="R3" i="7"/>
  <c r="U81" i="7"/>
  <c r="S4" i="7"/>
  <c r="J22" i="8" l="1"/>
  <c r="P22" i="8" s="1"/>
  <c r="Q22" i="8" s="1"/>
  <c r="U4" i="7"/>
  <c r="U3" i="7"/>
  <c r="V81" i="7"/>
  <c r="T4" i="7"/>
  <c r="D27" i="7" s="1"/>
  <c r="O22" i="8" l="1"/>
  <c r="W23" i="8"/>
  <c r="N23" i="8" s="1"/>
  <c r="AC17" i="11" s="1"/>
  <c r="K23" i="8"/>
  <c r="L23" i="8" s="1"/>
  <c r="I23" i="8" s="1"/>
  <c r="J23" i="8" s="1"/>
  <c r="P23" i="8" s="1"/>
  <c r="Q23" i="8" s="1"/>
  <c r="R22" i="8"/>
  <c r="S22" i="8"/>
  <c r="U22" i="8" s="1"/>
  <c r="V3" i="7"/>
  <c r="V4" i="7"/>
  <c r="O23" i="8" l="1"/>
  <c r="S23" i="8"/>
  <c r="U23" i="8" s="1"/>
  <c r="R23" i="8"/>
  <c r="T23" i="8" s="1"/>
  <c r="V23" i="8" s="1"/>
  <c r="T22" i="8"/>
  <c r="V22" i="8" s="1"/>
  <c r="W24" i="8"/>
  <c r="N24" i="8" s="1"/>
  <c r="AC18" i="11" s="1"/>
  <c r="K24" i="8"/>
  <c r="L24" i="8" s="1"/>
  <c r="I24" i="8" s="1"/>
  <c r="J24" i="8" s="1"/>
  <c r="P24" i="8" s="1"/>
  <c r="Q24" i="8" s="1"/>
  <c r="O24" i="8" l="1"/>
  <c r="R24" i="8"/>
  <c r="T24" i="8" s="1"/>
  <c r="V24" i="8" s="1"/>
  <c r="S24" i="8"/>
  <c r="U24" i="8" s="1"/>
  <c r="K25" i="8" l="1"/>
  <c r="L25" i="8" s="1"/>
  <c r="I25" i="8" s="1"/>
  <c r="J25" i="8" s="1"/>
  <c r="P25" i="8" s="1"/>
  <c r="Q25" i="8" s="1"/>
  <c r="W25" i="8"/>
  <c r="N25" i="8" s="1"/>
  <c r="AC19" i="11" s="1"/>
  <c r="O25" i="8" l="1"/>
  <c r="S25" i="8"/>
  <c r="U25" i="8" s="1"/>
  <c r="R25" i="8"/>
  <c r="T25" i="8" s="1"/>
  <c r="V25" i="8" s="1"/>
  <c r="W26" i="8" l="1"/>
  <c r="N26" i="8" s="1"/>
  <c r="AC20" i="11" s="1"/>
  <c r="K26" i="8"/>
  <c r="L26" i="8" s="1"/>
  <c r="I26" i="8" s="1"/>
  <c r="J26" i="8" s="1"/>
  <c r="P26" i="8" s="1"/>
  <c r="Q26" i="8" s="1"/>
  <c r="O26" i="8" l="1"/>
  <c r="W27" i="8"/>
  <c r="N27" i="8" s="1"/>
  <c r="AC21" i="11" s="1"/>
  <c r="K27" i="8"/>
  <c r="L27" i="8" s="1"/>
  <c r="I27" i="8" s="1"/>
  <c r="J27" i="8" s="1"/>
  <c r="P27" i="8" s="1"/>
  <c r="Q27" i="8" s="1"/>
  <c r="S26" i="8"/>
  <c r="U26" i="8" s="1"/>
  <c r="R26" i="8"/>
  <c r="T26" i="8" s="1"/>
  <c r="V26" i="8" s="1"/>
  <c r="O27" i="8" l="1"/>
  <c r="K28" i="8"/>
  <c r="L28" i="8" s="1"/>
  <c r="I28" i="8" s="1"/>
  <c r="J28" i="8" s="1"/>
  <c r="P28" i="8" s="1"/>
  <c r="Q28" i="8" s="1"/>
  <c r="W28" i="8"/>
  <c r="N28" i="8" s="1"/>
  <c r="AC22" i="11" s="1"/>
  <c r="S27" i="8"/>
  <c r="U27" i="8" s="1"/>
  <c r="R27" i="8"/>
  <c r="T27" i="8" s="1"/>
  <c r="V27" i="8" s="1"/>
  <c r="O28" i="8" l="1"/>
  <c r="K29" i="8"/>
  <c r="L29" i="8" s="1"/>
  <c r="I29" i="8" s="1"/>
  <c r="J29" i="8" s="1"/>
  <c r="P29" i="8" s="1"/>
  <c r="Q29" i="8" s="1"/>
  <c r="W29" i="8"/>
  <c r="N29" i="8" s="1"/>
  <c r="AC23" i="11" s="1"/>
  <c r="R28" i="8"/>
  <c r="T28" i="8" s="1"/>
  <c r="V28" i="8" s="1"/>
  <c r="S28" i="8"/>
  <c r="U28" i="8" s="1"/>
  <c r="O29" i="8" l="1"/>
  <c r="R29" i="8"/>
  <c r="T29" i="8" s="1"/>
  <c r="V29" i="8" s="1"/>
  <c r="S29" i="8"/>
  <c r="U29" i="8" s="1"/>
  <c r="W30" i="8" l="1"/>
  <c r="N30" i="8" s="1"/>
  <c r="AC24" i="11" s="1"/>
  <c r="K30" i="8"/>
  <c r="L30" i="8" s="1"/>
  <c r="I30" i="8" s="1"/>
  <c r="J30" i="8" s="1"/>
  <c r="P30" i="8" s="1"/>
  <c r="Q30" i="8" s="1"/>
  <c r="O30" i="8" l="1"/>
  <c r="R30" i="8"/>
  <c r="T30" i="8" s="1"/>
  <c r="V30" i="8" s="1"/>
  <c r="S30" i="8"/>
  <c r="U30" i="8" s="1"/>
  <c r="K31" i="8" l="1"/>
  <c r="L31" i="8" s="1"/>
  <c r="I31" i="8" s="1"/>
  <c r="J31" i="8" s="1"/>
  <c r="P31" i="8" s="1"/>
  <c r="Q31" i="8" s="1"/>
  <c r="W31" i="8"/>
  <c r="N31" i="8" s="1"/>
  <c r="AC25" i="11" s="1"/>
  <c r="O31" i="8" l="1"/>
  <c r="W32" i="8"/>
  <c r="N32" i="8" s="1"/>
  <c r="AC26" i="11" s="1"/>
  <c r="K32" i="8"/>
  <c r="L32" i="8" s="1"/>
  <c r="I32" i="8" s="1"/>
  <c r="J32" i="8" s="1"/>
  <c r="P32" i="8" s="1"/>
  <c r="Q32" i="8" s="1"/>
  <c r="R31" i="8"/>
  <c r="T31" i="8" s="1"/>
  <c r="V31" i="8" s="1"/>
  <c r="S31" i="8"/>
  <c r="U31" i="8" s="1"/>
  <c r="O32" i="8" l="1"/>
  <c r="K33" i="8"/>
  <c r="L33" i="8" s="1"/>
  <c r="I33" i="8" s="1"/>
  <c r="J33" i="8" s="1"/>
  <c r="P33" i="8" s="1"/>
  <c r="Q33" i="8" s="1"/>
  <c r="W33" i="8"/>
  <c r="N33" i="8" s="1"/>
  <c r="AC27" i="11" s="1"/>
  <c r="R32" i="8"/>
  <c r="T32" i="8" s="1"/>
  <c r="V32" i="8" s="1"/>
  <c r="S32" i="8"/>
  <c r="U32" i="8" s="1"/>
  <c r="O33" i="8" l="1"/>
  <c r="W34" i="8"/>
  <c r="N34" i="8" s="1"/>
  <c r="AC28" i="11" s="1"/>
  <c r="K34" i="8"/>
  <c r="L34" i="8" s="1"/>
  <c r="I34" i="8" s="1"/>
  <c r="J34" i="8" s="1"/>
  <c r="P34" i="8" s="1"/>
  <c r="Q34" i="8" s="1"/>
  <c r="O34" i="8"/>
  <c r="R33" i="8"/>
  <c r="T33" i="8" s="1"/>
  <c r="V33" i="8" s="1"/>
  <c r="S33" i="8"/>
  <c r="U33" i="8" s="1"/>
  <c r="K35" i="8" l="1"/>
  <c r="L35" i="8" s="1"/>
  <c r="I35" i="8" s="1"/>
  <c r="W35" i="8"/>
  <c r="N35" i="8" s="1"/>
  <c r="AC29" i="11" s="1"/>
  <c r="R34" i="8"/>
  <c r="T34" i="8" s="1"/>
  <c r="V34" i="8" s="1"/>
  <c r="S34" i="8"/>
  <c r="U34" i="8" s="1"/>
  <c r="J35" i="8" l="1"/>
  <c r="P35" i="8" s="1"/>
  <c r="Q35" i="8" s="1"/>
  <c r="O35" i="8"/>
  <c r="K36" i="8" l="1"/>
  <c r="L36" i="8" s="1"/>
  <c r="I36" i="8" s="1"/>
  <c r="W36" i="8"/>
  <c r="N36" i="8" s="1"/>
  <c r="AC30" i="11" s="1"/>
  <c r="R35" i="8"/>
  <c r="T35" i="8" s="1"/>
  <c r="V35" i="8" s="1"/>
  <c r="S35" i="8"/>
  <c r="U35" i="8" s="1"/>
  <c r="J36" i="8" l="1"/>
  <c r="P36" i="8" s="1"/>
  <c r="Q36" i="8" s="1"/>
  <c r="O36" i="8" l="1"/>
  <c r="W37" i="8"/>
  <c r="N37" i="8" s="1"/>
  <c r="AC31" i="11" s="1"/>
  <c r="K37" i="8"/>
  <c r="L37" i="8" s="1"/>
  <c r="I37" i="8" s="1"/>
  <c r="J37" i="8" s="1"/>
  <c r="P37" i="8" s="1"/>
  <c r="Q37" i="8" s="1"/>
  <c r="R36" i="8"/>
  <c r="S36" i="8"/>
  <c r="U36" i="8" s="1"/>
  <c r="T36" i="8" l="1"/>
  <c r="V36" i="8" s="1"/>
  <c r="O37" i="8"/>
  <c r="R37" i="8"/>
  <c r="T37" i="8" s="1"/>
  <c r="V37" i="8" s="1"/>
  <c r="S37" i="8"/>
  <c r="U37" i="8" s="1"/>
  <c r="W38" i="8" l="1"/>
  <c r="N38" i="8" s="1"/>
  <c r="AC32" i="11" s="1"/>
  <c r="K38" i="8"/>
  <c r="L38" i="8" s="1"/>
  <c r="I38" i="8" s="1"/>
  <c r="J38" i="8" s="1"/>
  <c r="P38" i="8" s="1"/>
  <c r="Q38" i="8" s="1"/>
  <c r="O38" i="8" l="1"/>
  <c r="W39" i="8"/>
  <c r="N39" i="8" s="1"/>
  <c r="AC33" i="11" s="1"/>
  <c r="K39" i="8"/>
  <c r="L39" i="8" s="1"/>
  <c r="I39" i="8" s="1"/>
  <c r="S38" i="8"/>
  <c r="U38" i="8" s="1"/>
  <c r="R38" i="8"/>
  <c r="T38" i="8" s="1"/>
  <c r="V38" i="8" s="1"/>
  <c r="J39" i="8" l="1"/>
  <c r="P39" i="8" s="1"/>
  <c r="Q39" i="8" s="1"/>
  <c r="S39" i="8" l="1"/>
  <c r="U39" i="8" s="1"/>
  <c r="R39" i="8"/>
  <c r="O39" i="8"/>
  <c r="K40" i="8" l="1"/>
  <c r="L40" i="8" s="1"/>
  <c r="I40" i="8" s="1"/>
  <c r="J40" i="8" s="1"/>
  <c r="P40" i="8" s="1"/>
  <c r="Q40" i="8" s="1"/>
  <c r="W40" i="8"/>
  <c r="N40" i="8" s="1"/>
  <c r="AC34" i="11" s="1"/>
  <c r="O40" i="8"/>
  <c r="T39" i="8"/>
  <c r="V39" i="8" s="1"/>
  <c r="W41" i="8" l="1"/>
  <c r="N41" i="8" s="1"/>
  <c r="AC35" i="11" s="1"/>
  <c r="K41" i="8"/>
  <c r="L41" i="8" s="1"/>
  <c r="I41" i="8" s="1"/>
  <c r="J41" i="8" s="1"/>
  <c r="P41" i="8" s="1"/>
  <c r="Q41" i="8" s="1"/>
  <c r="R40" i="8"/>
  <c r="T40" i="8" s="1"/>
  <c r="V40" i="8" s="1"/>
  <c r="S40" i="8"/>
  <c r="U40" i="8" s="1"/>
  <c r="R41" i="8" l="1"/>
  <c r="T41" i="8" s="1"/>
  <c r="V41" i="8" s="1"/>
  <c r="S41" i="8"/>
  <c r="U41" i="8" s="1"/>
  <c r="O41" i="8"/>
  <c r="W42" i="8" l="1"/>
  <c r="N42" i="8" s="1"/>
  <c r="AC36" i="11" s="1"/>
  <c r="K42" i="8"/>
  <c r="L42" i="8" s="1"/>
  <c r="I42" i="8" s="1"/>
  <c r="J42" i="8" s="1"/>
  <c r="P42" i="8" s="1"/>
  <c r="Q42" i="8" s="1"/>
  <c r="O42" i="8" l="1"/>
  <c r="K43" i="8"/>
  <c r="L43" i="8" s="1"/>
  <c r="I43" i="8" s="1"/>
  <c r="J43" i="8" s="1"/>
  <c r="P43" i="8" s="1"/>
  <c r="Q43" i="8" s="1"/>
  <c r="W43" i="8"/>
  <c r="N43" i="8" s="1"/>
  <c r="AC37" i="11" s="1"/>
  <c r="S42" i="8"/>
  <c r="U42" i="8" s="1"/>
  <c r="R42" i="8"/>
  <c r="O43" i="8" l="1"/>
  <c r="K44" i="8"/>
  <c r="L44" i="8" s="1"/>
  <c r="I44" i="8" s="1"/>
  <c r="W44" i="8"/>
  <c r="N44" i="8" s="1"/>
  <c r="AC38" i="11" s="1"/>
  <c r="T42" i="8"/>
  <c r="V42" i="8" s="1"/>
  <c r="S43" i="8"/>
  <c r="U43" i="8" s="1"/>
  <c r="R43" i="8"/>
  <c r="T43" i="8" s="1"/>
  <c r="V43" i="8" s="1"/>
  <c r="J44" i="8" l="1"/>
  <c r="P44" i="8" s="1"/>
  <c r="Q44" i="8" s="1"/>
  <c r="O44" i="8"/>
  <c r="K45" i="8" l="1"/>
  <c r="L45" i="8" s="1"/>
  <c r="I45" i="8" s="1"/>
  <c r="W45" i="8"/>
  <c r="N45" i="8" s="1"/>
  <c r="AC39" i="11" s="1"/>
  <c r="R44" i="8"/>
  <c r="S44" i="8"/>
  <c r="U44" i="8" s="1"/>
  <c r="T44" i="8" l="1"/>
  <c r="V44" i="8"/>
  <c r="J45" i="8"/>
  <c r="P45" i="8" s="1"/>
  <c r="Q45" i="8" s="1"/>
  <c r="O45" i="8"/>
  <c r="W46" i="8" l="1"/>
  <c r="N46" i="8" s="1"/>
  <c r="K46" i="8"/>
  <c r="L46" i="8" s="1"/>
  <c r="R45" i="8"/>
  <c r="S45" i="8"/>
  <c r="U45" i="8" s="1"/>
  <c r="AC40" i="11"/>
  <c r="I46" i="8"/>
  <c r="T45" i="8" l="1"/>
  <c r="V45" i="8" s="1"/>
  <c r="J46" i="8"/>
  <c r="O46" i="8" s="1"/>
  <c r="W47" i="8" l="1"/>
  <c r="K47" i="8"/>
  <c r="P46" i="8"/>
  <c r="L47" i="8" l="1"/>
  <c r="N47" i="8"/>
  <c r="Q46" i="8"/>
  <c r="AC41" i="11" l="1"/>
  <c r="I47" i="8"/>
  <c r="R46" i="8"/>
  <c r="S46" i="8"/>
  <c r="J47" i="8" l="1"/>
  <c r="U46" i="8"/>
  <c r="T46" i="8"/>
  <c r="O47" i="8" l="1"/>
  <c r="P47" i="8"/>
  <c r="V46" i="8"/>
  <c r="D29" i="9"/>
  <c r="L10" i="9" l="1"/>
  <c r="L72" i="9"/>
  <c r="L70" i="9"/>
  <c r="L77" i="9"/>
  <c r="L68" i="9"/>
  <c r="L48" i="9"/>
  <c r="L66" i="9"/>
  <c r="L55" i="9"/>
  <c r="L49" i="9"/>
  <c r="L61" i="9"/>
  <c r="L65" i="9"/>
  <c r="L63" i="9"/>
  <c r="L59" i="9"/>
  <c r="L56" i="9"/>
  <c r="L73" i="9"/>
  <c r="L54" i="9"/>
  <c r="L58" i="9"/>
  <c r="L67" i="9"/>
  <c r="L74" i="9"/>
  <c r="L76" i="9"/>
  <c r="L62" i="9"/>
  <c r="L50" i="9"/>
  <c r="L47" i="9"/>
  <c r="L75" i="9"/>
  <c r="L78" i="9"/>
  <c r="L80" i="9"/>
  <c r="L79" i="9"/>
  <c r="L64" i="9"/>
  <c r="L52" i="9"/>
  <c r="L57" i="9"/>
  <c r="L60" i="9"/>
  <c r="L46" i="9"/>
  <c r="L71" i="9"/>
  <c r="L81" i="9"/>
  <c r="L53" i="9"/>
  <c r="L51" i="9"/>
  <c r="L69" i="9"/>
  <c r="L44" i="9"/>
  <c r="U44" i="9" s="1"/>
  <c r="L40" i="9"/>
  <c r="U40" i="9" s="1"/>
  <c r="L36" i="9"/>
  <c r="U36" i="9" s="1"/>
  <c r="L32" i="9"/>
  <c r="U32" i="9" s="1"/>
  <c r="L28" i="9"/>
  <c r="U28" i="9" s="1"/>
  <c r="L24" i="9"/>
  <c r="U24" i="9" s="1"/>
  <c r="L20" i="9"/>
  <c r="U20" i="9" s="1"/>
  <c r="L14" i="9"/>
  <c r="U14" i="9" s="1"/>
  <c r="L41" i="9"/>
  <c r="U41" i="9" s="1"/>
  <c r="L37" i="9"/>
  <c r="U37" i="9" s="1"/>
  <c r="L29" i="9"/>
  <c r="U29" i="9" s="1"/>
  <c r="L25" i="9"/>
  <c r="U25" i="9" s="1"/>
  <c r="L21" i="9"/>
  <c r="U21" i="9" s="1"/>
  <c r="L16" i="9"/>
  <c r="U16" i="9" s="1"/>
  <c r="L43" i="9"/>
  <c r="U43" i="9" s="1"/>
  <c r="L39" i="9"/>
  <c r="U39" i="9" s="1"/>
  <c r="L35" i="9"/>
  <c r="U35" i="9" s="1"/>
  <c r="L31" i="9"/>
  <c r="U31" i="9" s="1"/>
  <c r="L27" i="9"/>
  <c r="U27" i="9" s="1"/>
  <c r="L23" i="9"/>
  <c r="U23" i="9" s="1"/>
  <c r="L19" i="9"/>
  <c r="U19" i="9" s="1"/>
  <c r="L12" i="9"/>
  <c r="U12" i="9" s="1"/>
  <c r="L45" i="9"/>
  <c r="U45" i="9" s="1"/>
  <c r="L33" i="9"/>
  <c r="U33" i="9" s="1"/>
  <c r="L42" i="9"/>
  <c r="U42" i="9" s="1"/>
  <c r="L38" i="9"/>
  <c r="U38" i="9" s="1"/>
  <c r="L34" i="9"/>
  <c r="U34" i="9" s="1"/>
  <c r="L30" i="9"/>
  <c r="U30" i="9" s="1"/>
  <c r="L26" i="9"/>
  <c r="U26" i="9" s="1"/>
  <c r="L22" i="9"/>
  <c r="U22" i="9" s="1"/>
  <c r="L18" i="9"/>
  <c r="U18" i="9" s="1"/>
  <c r="D16" i="9"/>
  <c r="Q47" i="8"/>
  <c r="W48" i="8"/>
  <c r="K48" i="8"/>
  <c r="M10" i="9"/>
  <c r="V10" i="9" s="1"/>
  <c r="L17" i="9"/>
  <c r="L15" i="9"/>
  <c r="L13" i="9"/>
  <c r="L11" i="9"/>
  <c r="U51" i="9" l="1"/>
  <c r="U46" i="9"/>
  <c r="U75" i="9"/>
  <c r="U54" i="9"/>
  <c r="U63" i="9"/>
  <c r="U55" i="9"/>
  <c r="U53" i="9"/>
  <c r="U60" i="9"/>
  <c r="U79" i="9"/>
  <c r="U47" i="9"/>
  <c r="U74" i="9"/>
  <c r="U73" i="9"/>
  <c r="U65" i="9"/>
  <c r="U66" i="9"/>
  <c r="U70" i="9"/>
  <c r="U64" i="9"/>
  <c r="U76" i="9"/>
  <c r="U77" i="9"/>
  <c r="U81" i="9"/>
  <c r="U57" i="9"/>
  <c r="U80" i="9"/>
  <c r="U50" i="9"/>
  <c r="U67" i="9"/>
  <c r="U56" i="9"/>
  <c r="U61" i="9"/>
  <c r="U48" i="9"/>
  <c r="U72" i="9"/>
  <c r="D17" i="9"/>
  <c r="L55" i="11"/>
  <c r="U69" i="9"/>
  <c r="U71" i="9"/>
  <c r="U52" i="9"/>
  <c r="U78" i="9"/>
  <c r="U62" i="9"/>
  <c r="U58" i="9"/>
  <c r="U59" i="9"/>
  <c r="U49" i="9"/>
  <c r="U68" i="9"/>
  <c r="L52" i="11"/>
  <c r="U10" i="9"/>
  <c r="N48" i="8"/>
  <c r="L48" i="8"/>
  <c r="R47" i="8"/>
  <c r="S47" i="8"/>
  <c r="U13" i="9"/>
  <c r="U17" i="9"/>
  <c r="AH5" i="11"/>
  <c r="U11" i="9"/>
  <c r="L3" i="9"/>
  <c r="L4" i="9"/>
  <c r="U15" i="9"/>
  <c r="K10" i="9" l="1"/>
  <c r="E29" i="9"/>
  <c r="Q10" i="9"/>
  <c r="I48" i="8"/>
  <c r="U47" i="8"/>
  <c r="T47" i="8"/>
  <c r="AC42" i="11"/>
  <c r="D28" i="9"/>
  <c r="D31" i="9"/>
  <c r="D32" i="9" s="1"/>
  <c r="D33" i="9" s="1"/>
  <c r="U3" i="9"/>
  <c r="W10" i="9" l="1"/>
  <c r="AA10" i="9" s="1"/>
  <c r="I10" i="9"/>
  <c r="J10" i="9" s="1"/>
  <c r="N10" i="9" s="1"/>
  <c r="P10" i="9"/>
  <c r="V47" i="8"/>
  <c r="J48" i="8"/>
  <c r="AB11" i="9" l="1"/>
  <c r="K11" i="9"/>
  <c r="T11" i="9"/>
  <c r="Z10" i="9"/>
  <c r="S10" i="9"/>
  <c r="R10" i="9"/>
  <c r="O48" i="8"/>
  <c r="P48" i="8"/>
  <c r="W11" i="9" l="1"/>
  <c r="Z11" i="9" s="1"/>
  <c r="I11" i="9"/>
  <c r="Y11" i="9"/>
  <c r="M11" i="9"/>
  <c r="Q11" i="9"/>
  <c r="P11" i="9" s="1"/>
  <c r="S11" i="9" s="1"/>
  <c r="Q48" i="8"/>
  <c r="W49" i="8"/>
  <c r="K49" i="8"/>
  <c r="V11" i="9" l="1"/>
  <c r="AA11" i="9" s="1"/>
  <c r="AH6" i="11"/>
  <c r="R11" i="9"/>
  <c r="J11" i="9"/>
  <c r="N11" i="9" s="1"/>
  <c r="L49" i="8"/>
  <c r="N49" i="8"/>
  <c r="R48" i="8"/>
  <c r="S48" i="8"/>
  <c r="K12" i="9" l="1"/>
  <c r="AB12" i="9"/>
  <c r="T12" i="9"/>
  <c r="Q12" i="9"/>
  <c r="P12" i="9" s="1"/>
  <c r="S12" i="9" s="1"/>
  <c r="AC43" i="11"/>
  <c r="U48" i="8"/>
  <c r="T48" i="8"/>
  <c r="I49" i="8"/>
  <c r="M12" i="9" l="1"/>
  <c r="Y12" i="9"/>
  <c r="R12" i="9"/>
  <c r="I12" i="9"/>
  <c r="W12" i="9"/>
  <c r="Z12" i="9" s="1"/>
  <c r="V48" i="8"/>
  <c r="J49" i="8"/>
  <c r="Q13" i="9" l="1"/>
  <c r="P13" i="9" s="1"/>
  <c r="S13" i="9" s="1"/>
  <c r="R13" i="9"/>
  <c r="J12" i="9"/>
  <c r="N12" i="9" s="1"/>
  <c r="V12" i="9"/>
  <c r="AA12" i="9" s="1"/>
  <c r="AH7" i="11"/>
  <c r="O49" i="8"/>
  <c r="P49" i="8"/>
  <c r="AB13" i="9" l="1"/>
  <c r="T13" i="9"/>
  <c r="K13" i="9"/>
  <c r="Q14" i="9"/>
  <c r="P14" i="9" s="1"/>
  <c r="S14" i="9" s="1"/>
  <c r="Q49" i="8"/>
  <c r="W50" i="8"/>
  <c r="K50" i="8"/>
  <c r="W13" i="9" l="1"/>
  <c r="Z13" i="9" s="1"/>
  <c r="I13" i="9"/>
  <c r="R14" i="9"/>
  <c r="M13" i="9"/>
  <c r="Y13" i="9"/>
  <c r="L50" i="8"/>
  <c r="N50" i="8"/>
  <c r="R49" i="8"/>
  <c r="S49" i="8"/>
  <c r="Q15" i="9" l="1"/>
  <c r="P15" i="9" s="1"/>
  <c r="S15" i="9" s="1"/>
  <c r="R15" i="9"/>
  <c r="J13" i="9"/>
  <c r="N13" i="9" s="1"/>
  <c r="V13" i="9"/>
  <c r="AA13" i="9" s="1"/>
  <c r="AH8" i="11"/>
  <c r="AC44" i="11"/>
  <c r="U49" i="8"/>
  <c r="T49" i="8"/>
  <c r="I50" i="8"/>
  <c r="T14" i="9" l="1"/>
  <c r="K14" i="9"/>
  <c r="AB14" i="9"/>
  <c r="Q16" i="9"/>
  <c r="P16" i="9" s="1"/>
  <c r="S16" i="9" s="1"/>
  <c r="V49" i="8"/>
  <c r="J50" i="8"/>
  <c r="M14" i="9" l="1"/>
  <c r="Y14" i="9"/>
  <c r="W14" i="9"/>
  <c r="Z14" i="9" s="1"/>
  <c r="I14" i="9"/>
  <c r="R16" i="9"/>
  <c r="O50" i="8"/>
  <c r="P50" i="8"/>
  <c r="J14" i="9" l="1"/>
  <c r="N14" i="9" s="1"/>
  <c r="Q17" i="9"/>
  <c r="P17" i="9" s="1"/>
  <c r="S17" i="9" s="1"/>
  <c r="AH9" i="11"/>
  <c r="V14" i="9"/>
  <c r="AA14" i="9" s="1"/>
  <c r="Q50" i="8"/>
  <c r="W51" i="8"/>
  <c r="K51" i="8"/>
  <c r="R17" i="9" l="1"/>
  <c r="AB15" i="9"/>
  <c r="K15" i="9"/>
  <c r="T15" i="9"/>
  <c r="Q18" i="9"/>
  <c r="P18" i="9" s="1"/>
  <c r="S18" i="9" s="1"/>
  <c r="L51" i="8"/>
  <c r="N51" i="8"/>
  <c r="R50" i="8"/>
  <c r="S50" i="8"/>
  <c r="I15" i="9" l="1"/>
  <c r="W15" i="9"/>
  <c r="Z15" i="9" s="1"/>
  <c r="R18" i="9"/>
  <c r="M15" i="9"/>
  <c r="Y15" i="9"/>
  <c r="AC45" i="11"/>
  <c r="U50" i="8"/>
  <c r="T50" i="8"/>
  <c r="I51" i="8"/>
  <c r="V15" i="9" l="1"/>
  <c r="AA15" i="9" s="1"/>
  <c r="AH10" i="11"/>
  <c r="Q19" i="9"/>
  <c r="P19" i="9" s="1"/>
  <c r="S19" i="9" s="1"/>
  <c r="R19" i="9"/>
  <c r="J15" i="9"/>
  <c r="N15" i="9" s="1"/>
  <c r="V50" i="8"/>
  <c r="J51" i="8"/>
  <c r="K16" i="9" l="1"/>
  <c r="AB16" i="9"/>
  <c r="T16" i="9"/>
  <c r="Q20" i="9"/>
  <c r="P20" i="9" s="1"/>
  <c r="S20" i="9" s="1"/>
  <c r="O51" i="8"/>
  <c r="P51" i="8"/>
  <c r="R20" i="9" l="1"/>
  <c r="M16" i="9"/>
  <c r="Y16" i="9"/>
  <c r="Q21" i="9"/>
  <c r="P21" i="9" s="1"/>
  <c r="S21" i="9" s="1"/>
  <c r="W16" i="9"/>
  <c r="Z16" i="9" s="1"/>
  <c r="I16" i="9"/>
  <c r="J16" i="9" s="1"/>
  <c r="N16" i="9" s="1"/>
  <c r="AB17" i="9" s="1"/>
  <c r="Q51" i="8"/>
  <c r="W52" i="8"/>
  <c r="N52" i="8" s="1"/>
  <c r="AC46" i="11" s="1"/>
  <c r="K52" i="8"/>
  <c r="L52" i="8" s="1"/>
  <c r="I52" i="8" s="1"/>
  <c r="J52" i="8" s="1"/>
  <c r="P52" i="8" s="1"/>
  <c r="Q52" i="8" s="1"/>
  <c r="T17" i="9"/>
  <c r="R21" i="9" l="1"/>
  <c r="Q22" i="9"/>
  <c r="P22" i="9" s="1"/>
  <c r="S22" i="9" s="1"/>
  <c r="K17" i="9"/>
  <c r="W17" i="9" s="1"/>
  <c r="Z17" i="9" s="1"/>
  <c r="V16" i="9"/>
  <c r="AA16" i="9" s="1"/>
  <c r="AH11" i="11"/>
  <c r="R52" i="8"/>
  <c r="T52" i="8" s="1"/>
  <c r="V52" i="8" s="1"/>
  <c r="S52" i="8"/>
  <c r="U52" i="8" s="1"/>
  <c r="O52" i="8"/>
  <c r="R51" i="8"/>
  <c r="S51" i="8"/>
  <c r="U51" i="8" s="1"/>
  <c r="Y17" i="9"/>
  <c r="M17" i="9"/>
  <c r="R22" i="9" l="1"/>
  <c r="I17" i="9"/>
  <c r="J17" i="9" s="1"/>
  <c r="N17" i="9" s="1"/>
  <c r="Q23" i="9"/>
  <c r="P23" i="9" s="1"/>
  <c r="S23" i="9" s="1"/>
  <c r="W53" i="8"/>
  <c r="N53" i="8" s="1"/>
  <c r="AC47" i="11" s="1"/>
  <c r="K53" i="8"/>
  <c r="L53" i="8" s="1"/>
  <c r="I53" i="8" s="1"/>
  <c r="J53" i="8" s="1"/>
  <c r="P53" i="8" s="1"/>
  <c r="Q53" i="8" s="1"/>
  <c r="T51" i="8"/>
  <c r="V51" i="8" s="1"/>
  <c r="V17" i="9"/>
  <c r="AA17" i="9" s="1"/>
  <c r="AH12" i="11"/>
  <c r="O53" i="8" l="1"/>
  <c r="R23" i="9"/>
  <c r="Q24" i="9" s="1"/>
  <c r="P24" i="9" s="1"/>
  <c r="S24" i="9" s="1"/>
  <c r="W54" i="8"/>
  <c r="N54" i="8" s="1"/>
  <c r="AC48" i="11" s="1"/>
  <c r="K54" i="8"/>
  <c r="L54" i="8" s="1"/>
  <c r="I54" i="8" s="1"/>
  <c r="J54" i="8" s="1"/>
  <c r="P54" i="8" s="1"/>
  <c r="Q54" i="8" s="1"/>
  <c r="R53" i="8"/>
  <c r="T53" i="8" s="1"/>
  <c r="V53" i="8" s="1"/>
  <c r="S53" i="8"/>
  <c r="U53" i="8" s="1"/>
  <c r="K18" i="9"/>
  <c r="AB18" i="9"/>
  <c r="T18" i="9"/>
  <c r="O54" i="8" l="1"/>
  <c r="R24" i="9"/>
  <c r="W55" i="8"/>
  <c r="N55" i="8" s="1"/>
  <c r="AC49" i="11" s="1"/>
  <c r="K55" i="8"/>
  <c r="L55" i="8" s="1"/>
  <c r="I55" i="8" s="1"/>
  <c r="J55" i="8" s="1"/>
  <c r="P55" i="8" s="1"/>
  <c r="Q55" i="8" s="1"/>
  <c r="R54" i="8"/>
  <c r="T54" i="8" s="1"/>
  <c r="V54" i="8" s="1"/>
  <c r="S54" i="8"/>
  <c r="U54" i="8" s="1"/>
  <c r="W18" i="9"/>
  <c r="Z18" i="9" s="1"/>
  <c r="I18" i="9"/>
  <c r="M18" i="9"/>
  <c r="Y18" i="9"/>
  <c r="O55" i="8" l="1"/>
  <c r="Q25" i="9"/>
  <c r="P25" i="9" s="1"/>
  <c r="S25" i="9" s="1"/>
  <c r="W56" i="8"/>
  <c r="N56" i="8" s="1"/>
  <c r="AC50" i="11" s="1"/>
  <c r="K56" i="8"/>
  <c r="L56" i="8" s="1"/>
  <c r="I56" i="8" s="1"/>
  <c r="J56" i="8" s="1"/>
  <c r="P56" i="8" s="1"/>
  <c r="Q56" i="8" s="1"/>
  <c r="R55" i="8"/>
  <c r="T55" i="8" s="1"/>
  <c r="V55" i="8" s="1"/>
  <c r="S55" i="8"/>
  <c r="U55" i="8" s="1"/>
  <c r="J18" i="9"/>
  <c r="N18" i="9" s="1"/>
  <c r="V18" i="9"/>
  <c r="AA18" i="9" s="1"/>
  <c r="AH13" i="11"/>
  <c r="R25" i="9" l="1"/>
  <c r="O56" i="8"/>
  <c r="W57" i="8" s="1"/>
  <c r="N57" i="8" s="1"/>
  <c r="AC51" i="11" s="1"/>
  <c r="K57" i="8"/>
  <c r="L57" i="8" s="1"/>
  <c r="I57" i="8" s="1"/>
  <c r="J57" i="8" s="1"/>
  <c r="P57" i="8" s="1"/>
  <c r="Q57" i="8" s="1"/>
  <c r="R56" i="8"/>
  <c r="T56" i="8" s="1"/>
  <c r="V56" i="8" s="1"/>
  <c r="S56" i="8"/>
  <c r="U56" i="8" s="1"/>
  <c r="AB19" i="9"/>
  <c r="K19" i="9"/>
  <c r="T19" i="9"/>
  <c r="Q26" i="9" l="1"/>
  <c r="P26" i="9" s="1"/>
  <c r="S26" i="9" s="1"/>
  <c r="O57" i="8"/>
  <c r="W58" i="8"/>
  <c r="N58" i="8" s="1"/>
  <c r="AC52" i="11" s="1"/>
  <c r="K58" i="8"/>
  <c r="L58" i="8" s="1"/>
  <c r="I58" i="8" s="1"/>
  <c r="J58" i="8" s="1"/>
  <c r="P58" i="8" s="1"/>
  <c r="Q58" i="8" s="1"/>
  <c r="R57" i="8"/>
  <c r="T57" i="8" s="1"/>
  <c r="V57" i="8" s="1"/>
  <c r="S57" i="8"/>
  <c r="U57" i="8" s="1"/>
  <c r="I19" i="9"/>
  <c r="W19" i="9"/>
  <c r="Z19" i="9" s="1"/>
  <c r="M19" i="9"/>
  <c r="Y19" i="9"/>
  <c r="R26" i="9" l="1"/>
  <c r="O58" i="8"/>
  <c r="W59" i="8" s="1"/>
  <c r="N59" i="8" s="1"/>
  <c r="AC53" i="11" s="1"/>
  <c r="K59" i="8"/>
  <c r="L59" i="8" s="1"/>
  <c r="I59" i="8" s="1"/>
  <c r="J59" i="8" s="1"/>
  <c r="P59" i="8" s="1"/>
  <c r="Q59" i="8" s="1"/>
  <c r="R58" i="8"/>
  <c r="T58" i="8" s="1"/>
  <c r="V58" i="8" s="1"/>
  <c r="S58" i="8"/>
  <c r="U58" i="8" s="1"/>
  <c r="V19" i="9"/>
  <c r="AA19" i="9" s="1"/>
  <c r="AH14" i="11"/>
  <c r="J19" i="9"/>
  <c r="N19" i="9" s="1"/>
  <c r="Q27" i="9" l="1"/>
  <c r="P27" i="9" s="1"/>
  <c r="S27" i="9" s="1"/>
  <c r="O59" i="8"/>
  <c r="K60" i="8" s="1"/>
  <c r="L60" i="8" s="1"/>
  <c r="I60" i="8" s="1"/>
  <c r="J60" i="8" s="1"/>
  <c r="P60" i="8" s="1"/>
  <c r="Q60" i="8" s="1"/>
  <c r="W60" i="8"/>
  <c r="N60" i="8" s="1"/>
  <c r="AC54" i="11" s="1"/>
  <c r="R59" i="8"/>
  <c r="T59" i="8" s="1"/>
  <c r="V59" i="8" s="1"/>
  <c r="S59" i="8"/>
  <c r="U59" i="8" s="1"/>
  <c r="K20" i="9"/>
  <c r="AB20" i="9"/>
  <c r="T20" i="9"/>
  <c r="R27" i="9" l="1"/>
  <c r="O60" i="8"/>
  <c r="W61" i="8" s="1"/>
  <c r="N61" i="8" s="1"/>
  <c r="AC55" i="11" s="1"/>
  <c r="K61" i="8"/>
  <c r="L61" i="8" s="1"/>
  <c r="I61" i="8" s="1"/>
  <c r="J61" i="8" s="1"/>
  <c r="P61" i="8" s="1"/>
  <c r="Q61" i="8" s="1"/>
  <c r="R60" i="8"/>
  <c r="S60" i="8"/>
  <c r="U60" i="8" s="1"/>
  <c r="M20" i="9"/>
  <c r="Y20" i="9"/>
  <c r="W20" i="9"/>
  <c r="Z20" i="9" s="1"/>
  <c r="I20" i="9"/>
  <c r="Q28" i="9" l="1"/>
  <c r="P28" i="9" s="1"/>
  <c r="S28" i="9" s="1"/>
  <c r="R28" i="9"/>
  <c r="T60" i="8"/>
  <c r="V60" i="8" s="1"/>
  <c r="S61" i="8"/>
  <c r="U61" i="8" s="1"/>
  <c r="R61" i="8"/>
  <c r="T61" i="8" s="1"/>
  <c r="V61" i="8" s="1"/>
  <c r="O61" i="8"/>
  <c r="J20" i="9"/>
  <c r="N20" i="9" s="1"/>
  <c r="V20" i="9"/>
  <c r="AA20" i="9" s="1"/>
  <c r="AH15" i="11"/>
  <c r="Q29" i="9" l="1"/>
  <c r="P29" i="9" s="1"/>
  <c r="S29" i="9" s="1"/>
  <c r="R29" i="9"/>
  <c r="Q30" i="9" s="1"/>
  <c r="P30" i="9" s="1"/>
  <c r="S30" i="9" s="1"/>
  <c r="W62" i="8"/>
  <c r="N62" i="8" s="1"/>
  <c r="AC56" i="11" s="1"/>
  <c r="K62" i="8"/>
  <c r="L62" i="8" s="1"/>
  <c r="I62" i="8" s="1"/>
  <c r="J62" i="8" s="1"/>
  <c r="P62" i="8" s="1"/>
  <c r="Q62" i="8" s="1"/>
  <c r="AB21" i="9"/>
  <c r="K21" i="9"/>
  <c r="T21" i="9"/>
  <c r="R30" i="9"/>
  <c r="O62" i="8" l="1"/>
  <c r="R62" i="8"/>
  <c r="T62" i="8" s="1"/>
  <c r="V62" i="8" s="1"/>
  <c r="S62" i="8"/>
  <c r="U62" i="8" s="1"/>
  <c r="W63" i="8"/>
  <c r="N63" i="8" s="1"/>
  <c r="AC57" i="11" s="1"/>
  <c r="K63" i="8"/>
  <c r="L63" i="8" s="1"/>
  <c r="I63" i="8" s="1"/>
  <c r="J63" i="8" s="1"/>
  <c r="P63" i="8" s="1"/>
  <c r="Q63" i="8" s="1"/>
  <c r="Q31" i="9"/>
  <c r="P31" i="9" s="1"/>
  <c r="S31" i="9" s="1"/>
  <c r="I21" i="9"/>
  <c r="W21" i="9"/>
  <c r="Z21" i="9" s="1"/>
  <c r="M21" i="9"/>
  <c r="Y21" i="9"/>
  <c r="O63" i="8" l="1"/>
  <c r="S63" i="8"/>
  <c r="U63" i="8" s="1"/>
  <c r="R63" i="8"/>
  <c r="T63" i="8" s="1"/>
  <c r="V63" i="8" s="1"/>
  <c r="R31" i="9"/>
  <c r="V21" i="9"/>
  <c r="AA21" i="9" s="1"/>
  <c r="AH16" i="11"/>
  <c r="J21" i="9"/>
  <c r="N21" i="9"/>
  <c r="W64" i="8" l="1"/>
  <c r="N64" i="8" s="1"/>
  <c r="AC58" i="11" s="1"/>
  <c r="K64" i="8"/>
  <c r="L64" i="8" s="1"/>
  <c r="I64" i="8" s="1"/>
  <c r="J64" i="8" s="1"/>
  <c r="P64" i="8" s="1"/>
  <c r="Q64" i="8" s="1"/>
  <c r="Q32" i="9"/>
  <c r="P32" i="9" s="1"/>
  <c r="S32" i="9" s="1"/>
  <c r="K22" i="9"/>
  <c r="AB22" i="9"/>
  <c r="T22" i="9"/>
  <c r="R32" i="9" l="1"/>
  <c r="S64" i="8"/>
  <c r="U64" i="8" s="1"/>
  <c r="R64" i="8"/>
  <c r="T64" i="8" s="1"/>
  <c r="V64" i="8" s="1"/>
  <c r="O64" i="8"/>
  <c r="W22" i="9"/>
  <c r="Z22" i="9" s="1"/>
  <c r="I22" i="9"/>
  <c r="Q33" i="9"/>
  <c r="P33" i="9" s="1"/>
  <c r="S33" i="9" s="1"/>
  <c r="M22" i="9"/>
  <c r="Y22" i="9"/>
  <c r="W65" i="8" l="1"/>
  <c r="N65" i="8" s="1"/>
  <c r="AC59" i="11" s="1"/>
  <c r="K65" i="8"/>
  <c r="L65" i="8" s="1"/>
  <c r="I65" i="8" s="1"/>
  <c r="J65" i="8" s="1"/>
  <c r="P65" i="8" s="1"/>
  <c r="Q65" i="8" s="1"/>
  <c r="R33" i="9"/>
  <c r="J22" i="9"/>
  <c r="N22" i="9" s="1"/>
  <c r="V22" i="9"/>
  <c r="AA22" i="9" s="1"/>
  <c r="AH17" i="11"/>
  <c r="S65" i="8" l="1"/>
  <c r="U65" i="8" s="1"/>
  <c r="R65" i="8"/>
  <c r="T65" i="8" s="1"/>
  <c r="V65" i="8" s="1"/>
  <c r="O65" i="8"/>
  <c r="AB23" i="9"/>
  <c r="K23" i="9"/>
  <c r="T23" i="9"/>
  <c r="Q34" i="9"/>
  <c r="P34" i="9" s="1"/>
  <c r="S34" i="9" s="1"/>
  <c r="W66" i="8" l="1"/>
  <c r="N66" i="8" s="1"/>
  <c r="AC60" i="11" s="1"/>
  <c r="K66" i="8"/>
  <c r="L66" i="8" s="1"/>
  <c r="I66" i="8" s="1"/>
  <c r="J66" i="8" s="1"/>
  <c r="P66" i="8" s="1"/>
  <c r="Q66" i="8" s="1"/>
  <c r="I23" i="9"/>
  <c r="W23" i="9"/>
  <c r="Z23" i="9" s="1"/>
  <c r="M23" i="9"/>
  <c r="Y23" i="9"/>
  <c r="R34" i="9"/>
  <c r="S66" i="8" l="1"/>
  <c r="U66" i="8" s="1"/>
  <c r="R66" i="8"/>
  <c r="T66" i="8" s="1"/>
  <c r="V66" i="8" s="1"/>
  <c r="O66" i="8"/>
  <c r="Q35" i="9"/>
  <c r="P35" i="9" s="1"/>
  <c r="S35" i="9" s="1"/>
  <c r="V23" i="9"/>
  <c r="AA23" i="9" s="1"/>
  <c r="AH18" i="11"/>
  <c r="J23" i="9"/>
  <c r="N23" i="9" s="1"/>
  <c r="W67" i="8" l="1"/>
  <c r="N67" i="8" s="1"/>
  <c r="AC61" i="11" s="1"/>
  <c r="K67" i="8"/>
  <c r="L67" i="8" s="1"/>
  <c r="I67" i="8" s="1"/>
  <c r="J67" i="8" s="1"/>
  <c r="P67" i="8" s="1"/>
  <c r="Q67" i="8" s="1"/>
  <c r="K24" i="9"/>
  <c r="AB24" i="9"/>
  <c r="T24" i="9"/>
  <c r="R35" i="9"/>
  <c r="S67" i="8" l="1"/>
  <c r="U67" i="8" s="1"/>
  <c r="R67" i="8"/>
  <c r="T67" i="8" s="1"/>
  <c r="V67" i="8" s="1"/>
  <c r="O67" i="8"/>
  <c r="M24" i="9"/>
  <c r="Y24" i="9"/>
  <c r="Q36" i="9"/>
  <c r="P36" i="9" s="1"/>
  <c r="S36" i="9" s="1"/>
  <c r="W24" i="9"/>
  <c r="Z24" i="9" s="1"/>
  <c r="I24" i="9"/>
  <c r="W68" i="8" l="1"/>
  <c r="N68" i="8" s="1"/>
  <c r="AC62" i="11" s="1"/>
  <c r="K68" i="8"/>
  <c r="L68" i="8" s="1"/>
  <c r="I68" i="8" s="1"/>
  <c r="J68" i="8" s="1"/>
  <c r="P68" i="8" s="1"/>
  <c r="Q68" i="8" s="1"/>
  <c r="J24" i="9"/>
  <c r="N24" i="9" s="1"/>
  <c r="R36" i="9"/>
  <c r="V24" i="9"/>
  <c r="AA24" i="9" s="1"/>
  <c r="AH19" i="11"/>
  <c r="R68" i="8" l="1"/>
  <c r="T68" i="8" s="1"/>
  <c r="V68" i="8" s="1"/>
  <c r="S68" i="8"/>
  <c r="U68" i="8" s="1"/>
  <c r="O68" i="8"/>
  <c r="AB25" i="9"/>
  <c r="K25" i="9"/>
  <c r="T25" i="9"/>
  <c r="Q37" i="9"/>
  <c r="P37" i="9" s="1"/>
  <c r="S37" i="9" s="1"/>
  <c r="W69" i="8" l="1"/>
  <c r="N69" i="8" s="1"/>
  <c r="AC63" i="11" s="1"/>
  <c r="K69" i="8"/>
  <c r="L69" i="8" s="1"/>
  <c r="I69" i="8" s="1"/>
  <c r="J69" i="8" s="1"/>
  <c r="P69" i="8" s="1"/>
  <c r="Q69" i="8" s="1"/>
  <c r="M25" i="9"/>
  <c r="Y25" i="9"/>
  <c r="R37" i="9"/>
  <c r="I25" i="9"/>
  <c r="W25" i="9"/>
  <c r="Z25" i="9" s="1"/>
  <c r="S69" i="8" l="1"/>
  <c r="U69" i="8" s="1"/>
  <c r="R69" i="8"/>
  <c r="T69" i="8" s="1"/>
  <c r="V69" i="8" s="1"/>
  <c r="O69" i="8"/>
  <c r="J25" i="9"/>
  <c r="N25" i="9" s="1"/>
  <c r="Q38" i="9"/>
  <c r="P38" i="9" s="1"/>
  <c r="S38" i="9" s="1"/>
  <c r="V25" i="9"/>
  <c r="AA25" i="9" s="1"/>
  <c r="AH20" i="11"/>
  <c r="W70" i="8" l="1"/>
  <c r="N70" i="8" s="1"/>
  <c r="AC64" i="11" s="1"/>
  <c r="K70" i="8"/>
  <c r="L70" i="8" s="1"/>
  <c r="I70" i="8" s="1"/>
  <c r="J70" i="8" s="1"/>
  <c r="P70" i="8" s="1"/>
  <c r="Q70" i="8" s="1"/>
  <c r="AB26" i="9"/>
  <c r="K26" i="9"/>
  <c r="T26" i="9"/>
  <c r="R38" i="9"/>
  <c r="S70" i="8" l="1"/>
  <c r="U70" i="8" s="1"/>
  <c r="R70" i="8"/>
  <c r="T70" i="8" s="1"/>
  <c r="V70" i="8" s="1"/>
  <c r="O70" i="8"/>
  <c r="W26" i="9"/>
  <c r="Z26" i="9" s="1"/>
  <c r="I26" i="9"/>
  <c r="M26" i="9"/>
  <c r="Y26" i="9"/>
  <c r="Q39" i="9"/>
  <c r="P39" i="9" s="1"/>
  <c r="S39" i="9" s="1"/>
  <c r="W71" i="8" l="1"/>
  <c r="N71" i="8" s="1"/>
  <c r="AC65" i="11" s="1"/>
  <c r="K71" i="8"/>
  <c r="L71" i="8" s="1"/>
  <c r="I71" i="8" s="1"/>
  <c r="J71" i="8" s="1"/>
  <c r="P71" i="8" s="1"/>
  <c r="Q71" i="8" s="1"/>
  <c r="V26" i="9"/>
  <c r="AA26" i="9" s="1"/>
  <c r="AH21" i="11"/>
  <c r="R39" i="9"/>
  <c r="J26" i="9"/>
  <c r="N26" i="9" s="1"/>
  <c r="S71" i="8" l="1"/>
  <c r="U71" i="8" s="1"/>
  <c r="R71" i="8"/>
  <c r="T71" i="8" s="1"/>
  <c r="V71" i="8" s="1"/>
  <c r="O71" i="8"/>
  <c r="K27" i="9"/>
  <c r="AB27" i="9"/>
  <c r="T27" i="9"/>
  <c r="Q40" i="9"/>
  <c r="P40" i="9" s="1"/>
  <c r="S40" i="9" s="1"/>
  <c r="W72" i="8" l="1"/>
  <c r="N72" i="8" s="1"/>
  <c r="AC66" i="11" s="1"/>
  <c r="K72" i="8"/>
  <c r="L72" i="8" s="1"/>
  <c r="I72" i="8" s="1"/>
  <c r="J72" i="8" s="1"/>
  <c r="P72" i="8" s="1"/>
  <c r="Q72" i="8" s="1"/>
  <c r="M27" i="9"/>
  <c r="Y27" i="9"/>
  <c r="R40" i="9"/>
  <c r="I27" i="9"/>
  <c r="W27" i="9"/>
  <c r="Z27" i="9" s="1"/>
  <c r="S72" i="8" l="1"/>
  <c r="U72" i="8" s="1"/>
  <c r="R72" i="8"/>
  <c r="T72" i="8" s="1"/>
  <c r="V72" i="8" s="1"/>
  <c r="O72" i="8"/>
  <c r="J27" i="9"/>
  <c r="N27" i="9" s="1"/>
  <c r="Q41" i="9"/>
  <c r="P41" i="9" s="1"/>
  <c r="S41" i="9" s="1"/>
  <c r="V27" i="9"/>
  <c r="AA27" i="9" s="1"/>
  <c r="AH22" i="11"/>
  <c r="W73" i="8" l="1"/>
  <c r="N73" i="8" s="1"/>
  <c r="AC67" i="11" s="1"/>
  <c r="K73" i="8"/>
  <c r="L73" i="8" s="1"/>
  <c r="I73" i="8" s="1"/>
  <c r="J73" i="8" s="1"/>
  <c r="P73" i="8" s="1"/>
  <c r="Q73" i="8" s="1"/>
  <c r="AB28" i="9"/>
  <c r="K28" i="9"/>
  <c r="T28" i="9"/>
  <c r="R41" i="9"/>
  <c r="S73" i="8" l="1"/>
  <c r="U73" i="8" s="1"/>
  <c r="R73" i="8"/>
  <c r="T73" i="8" s="1"/>
  <c r="V73" i="8" s="1"/>
  <c r="O73" i="8"/>
  <c r="Q42" i="9"/>
  <c r="P42" i="9" s="1"/>
  <c r="S42" i="9" s="1"/>
  <c r="W28" i="9"/>
  <c r="Z28" i="9" s="1"/>
  <c r="I28" i="9"/>
  <c r="M28" i="9"/>
  <c r="Y28" i="9"/>
  <c r="W74" i="8" l="1"/>
  <c r="N74" i="8" s="1"/>
  <c r="AC68" i="11" s="1"/>
  <c r="K74" i="8"/>
  <c r="L74" i="8" s="1"/>
  <c r="I74" i="8" s="1"/>
  <c r="J74" i="8" s="1"/>
  <c r="P74" i="8" s="1"/>
  <c r="Q74" i="8" s="1"/>
  <c r="AH23" i="11"/>
  <c r="V28" i="9"/>
  <c r="AA28" i="9" s="1"/>
  <c r="J28" i="9"/>
  <c r="N28" i="9" s="1"/>
  <c r="R42" i="9"/>
  <c r="S74" i="8" l="1"/>
  <c r="U74" i="8" s="1"/>
  <c r="R74" i="8"/>
  <c r="T74" i="8" s="1"/>
  <c r="V74" i="8" s="1"/>
  <c r="O74" i="8"/>
  <c r="K29" i="9"/>
  <c r="AB29" i="9"/>
  <c r="T29" i="9"/>
  <c r="Q43" i="9"/>
  <c r="P43" i="9" s="1"/>
  <c r="S43" i="9" s="1"/>
  <c r="W75" i="8" l="1"/>
  <c r="N75" i="8" s="1"/>
  <c r="AC69" i="11" s="1"/>
  <c r="K75" i="8"/>
  <c r="L75" i="8" s="1"/>
  <c r="I75" i="8" s="1"/>
  <c r="J75" i="8" s="1"/>
  <c r="P75" i="8" s="1"/>
  <c r="Q75" i="8" s="1"/>
  <c r="R43" i="9"/>
  <c r="M29" i="9"/>
  <c r="Y29" i="9"/>
  <c r="I29" i="9"/>
  <c r="W29" i="9"/>
  <c r="Z29" i="9" s="1"/>
  <c r="S75" i="8" l="1"/>
  <c r="U75" i="8" s="1"/>
  <c r="R75" i="8"/>
  <c r="T75" i="8" s="1"/>
  <c r="V75" i="8" s="1"/>
  <c r="O75" i="8"/>
  <c r="Q44" i="9"/>
  <c r="P44" i="9" s="1"/>
  <c r="S44" i="9" s="1"/>
  <c r="J29" i="9"/>
  <c r="N29" i="9" s="1"/>
  <c r="AH24" i="11"/>
  <c r="V29" i="9"/>
  <c r="AA29" i="9" s="1"/>
  <c r="R44" i="9" l="1"/>
  <c r="W76" i="8"/>
  <c r="N76" i="8" s="1"/>
  <c r="AC70" i="11" s="1"/>
  <c r="K76" i="8"/>
  <c r="L76" i="8" s="1"/>
  <c r="I76" i="8" s="1"/>
  <c r="J76" i="8" s="1"/>
  <c r="P76" i="8" s="1"/>
  <c r="Q76" i="8" s="1"/>
  <c r="AB30" i="9"/>
  <c r="K30" i="9"/>
  <c r="T30" i="9"/>
  <c r="Q45" i="9"/>
  <c r="P45" i="9" s="1"/>
  <c r="S45" i="9" s="1"/>
  <c r="S76" i="8" l="1"/>
  <c r="U76" i="8" s="1"/>
  <c r="R76" i="8"/>
  <c r="T76" i="8" s="1"/>
  <c r="V76" i="8" s="1"/>
  <c r="O76" i="8"/>
  <c r="R45" i="9"/>
  <c r="W30" i="9"/>
  <c r="Z30" i="9" s="1"/>
  <c r="I30" i="9"/>
  <c r="M30" i="9"/>
  <c r="Y30" i="9"/>
  <c r="Q46" i="9" l="1"/>
  <c r="P46" i="9" s="1"/>
  <c r="S46" i="9" s="1"/>
  <c r="W77" i="8"/>
  <c r="N77" i="8" s="1"/>
  <c r="AC71" i="11" s="1"/>
  <c r="K77" i="8"/>
  <c r="L77" i="8" s="1"/>
  <c r="I77" i="8" s="1"/>
  <c r="J77" i="8" s="1"/>
  <c r="P77" i="8" s="1"/>
  <c r="Q77" i="8" s="1"/>
  <c r="J30" i="9"/>
  <c r="N30" i="9" s="1"/>
  <c r="AH25" i="11"/>
  <c r="V30" i="9"/>
  <c r="AA30" i="9" s="1"/>
  <c r="R46" i="9" l="1"/>
  <c r="S77" i="8"/>
  <c r="U77" i="8" s="1"/>
  <c r="R77" i="8"/>
  <c r="T77" i="8" s="1"/>
  <c r="V77" i="8" s="1"/>
  <c r="O77" i="8"/>
  <c r="K31" i="9"/>
  <c r="AB31" i="9"/>
  <c r="T31" i="9"/>
  <c r="Q47" i="9" l="1"/>
  <c r="P47" i="9" s="1"/>
  <c r="S47" i="9" s="1"/>
  <c r="R47" i="9"/>
  <c r="W78" i="8"/>
  <c r="N78" i="8" s="1"/>
  <c r="AC72" i="11" s="1"/>
  <c r="K78" i="8"/>
  <c r="L78" i="8" s="1"/>
  <c r="I78" i="8" s="1"/>
  <c r="J78" i="8" s="1"/>
  <c r="P78" i="8" s="1"/>
  <c r="Q78" i="8" s="1"/>
  <c r="M31" i="9"/>
  <c r="Y31" i="9"/>
  <c r="I31" i="9"/>
  <c r="W31" i="9"/>
  <c r="Z31" i="9" s="1"/>
  <c r="Q48" i="9" l="1"/>
  <c r="P48" i="9" s="1"/>
  <c r="S48" i="9" s="1"/>
  <c r="R48" i="9"/>
  <c r="S78" i="8"/>
  <c r="U78" i="8" s="1"/>
  <c r="R78" i="8"/>
  <c r="T78" i="8" s="1"/>
  <c r="V78" i="8" s="1"/>
  <c r="O78" i="8"/>
  <c r="J31" i="9"/>
  <c r="N31" i="9" s="1"/>
  <c r="AH26" i="11"/>
  <c r="V31" i="9"/>
  <c r="AA31" i="9" s="1"/>
  <c r="Q49" i="9" l="1"/>
  <c r="P49" i="9" s="1"/>
  <c r="S49" i="9" s="1"/>
  <c r="W79" i="8"/>
  <c r="N79" i="8" s="1"/>
  <c r="AC73" i="11" s="1"/>
  <c r="K79" i="8"/>
  <c r="L79" i="8" s="1"/>
  <c r="I79" i="8" s="1"/>
  <c r="J79" i="8" s="1"/>
  <c r="P79" i="8" s="1"/>
  <c r="Q79" i="8" s="1"/>
  <c r="AB32" i="9"/>
  <c r="K32" i="9"/>
  <c r="T32" i="9"/>
  <c r="O79" i="8" l="1"/>
  <c r="R49" i="9"/>
  <c r="S79" i="8"/>
  <c r="U79" i="8" s="1"/>
  <c r="R79" i="8"/>
  <c r="T79" i="8" s="1"/>
  <c r="V79" i="8" s="1"/>
  <c r="W80" i="8"/>
  <c r="N80" i="8" s="1"/>
  <c r="AC74" i="11" s="1"/>
  <c r="K80" i="8"/>
  <c r="L80" i="8" s="1"/>
  <c r="I80" i="8" s="1"/>
  <c r="J80" i="8" s="1"/>
  <c r="P80" i="8" s="1"/>
  <c r="Q80" i="8" s="1"/>
  <c r="M32" i="9"/>
  <c r="Y32" i="9"/>
  <c r="W32" i="9"/>
  <c r="Z32" i="9" s="1"/>
  <c r="I32" i="9"/>
  <c r="Q50" i="9" l="1"/>
  <c r="P50" i="9" s="1"/>
  <c r="S50" i="9" s="1"/>
  <c r="R50" i="9"/>
  <c r="O80" i="8"/>
  <c r="S80" i="8"/>
  <c r="U80" i="8" s="1"/>
  <c r="R80" i="8"/>
  <c r="T80" i="8" s="1"/>
  <c r="V80" i="8" s="1"/>
  <c r="J32" i="9"/>
  <c r="N32" i="9" s="1"/>
  <c r="AH27" i="11"/>
  <c r="V32" i="9"/>
  <c r="AA32" i="9" s="1"/>
  <c r="Q51" i="9" l="1"/>
  <c r="P51" i="9" s="1"/>
  <c r="S51" i="9" s="1"/>
  <c r="R51" i="9"/>
  <c r="W81" i="8"/>
  <c r="N81" i="8" s="1"/>
  <c r="AC75" i="11" s="1"/>
  <c r="K81" i="8"/>
  <c r="L81" i="8" s="1"/>
  <c r="I81" i="8" s="1"/>
  <c r="J81" i="8" s="1"/>
  <c r="P81" i="8" s="1"/>
  <c r="Q81" i="8" s="1"/>
  <c r="K33" i="9"/>
  <c r="AB33" i="9"/>
  <c r="T33" i="9"/>
  <c r="Q52" i="9" l="1"/>
  <c r="P52" i="9" s="1"/>
  <c r="S52" i="9" s="1"/>
  <c r="R52" i="9"/>
  <c r="S81" i="8"/>
  <c r="U81" i="8" s="1"/>
  <c r="R81" i="8"/>
  <c r="T81" i="8" s="1"/>
  <c r="V81" i="8" s="1"/>
  <c r="O81" i="8"/>
  <c r="I33" i="9"/>
  <c r="W33" i="9"/>
  <c r="Z33" i="9" s="1"/>
  <c r="M33" i="9"/>
  <c r="Y33" i="9"/>
  <c r="Q53" i="9" l="1"/>
  <c r="P53" i="9" s="1"/>
  <c r="S53" i="9" s="1"/>
  <c r="W82" i="8"/>
  <c r="K82" i="8"/>
  <c r="AH28" i="11"/>
  <c r="V33" i="9"/>
  <c r="AA33" i="9" s="1"/>
  <c r="J33" i="9"/>
  <c r="N33" i="9" s="1"/>
  <c r="R53" i="9" l="1"/>
  <c r="L82" i="8"/>
  <c r="K4" i="8"/>
  <c r="N82" i="8"/>
  <c r="W4" i="8"/>
  <c r="I39" i="11" s="1"/>
  <c r="AB34" i="9"/>
  <c r="K34" i="9"/>
  <c r="T34" i="9"/>
  <c r="Q54" i="9" l="1"/>
  <c r="P54" i="9" s="1"/>
  <c r="S54" i="9" s="1"/>
  <c r="R54" i="9"/>
  <c r="AC76" i="11"/>
  <c r="N4" i="8"/>
  <c r="N3" i="8"/>
  <c r="I61" i="11" s="1"/>
  <c r="I82" i="8"/>
  <c r="L4" i="8"/>
  <c r="W34" i="9"/>
  <c r="Z34" i="9" s="1"/>
  <c r="I34" i="9"/>
  <c r="M34" i="9"/>
  <c r="Y34" i="9"/>
  <c r="Q55" i="9" l="1"/>
  <c r="P55" i="9" s="1"/>
  <c r="S55" i="9" s="1"/>
  <c r="I36" i="11"/>
  <c r="I58" i="11" s="1"/>
  <c r="J82" i="8"/>
  <c r="I4" i="8"/>
  <c r="AH29" i="11"/>
  <c r="V34" i="9"/>
  <c r="AA34" i="9" s="1"/>
  <c r="J34" i="9"/>
  <c r="N34" i="9" s="1"/>
  <c r="R55" i="9" l="1"/>
  <c r="P82" i="8"/>
  <c r="J4" i="8"/>
  <c r="K35" i="9"/>
  <c r="AB35" i="9"/>
  <c r="T35" i="9"/>
  <c r="Q56" i="9" l="1"/>
  <c r="P56" i="9" s="1"/>
  <c r="S56" i="9" s="1"/>
  <c r="Q82" i="8"/>
  <c r="P4" i="8"/>
  <c r="M35" i="9"/>
  <c r="Y35" i="9"/>
  <c r="I35" i="9"/>
  <c r="W35" i="9"/>
  <c r="Z35" i="9" s="1"/>
  <c r="R56" i="9" l="1"/>
  <c r="S82" i="8"/>
  <c r="R82" i="8"/>
  <c r="Q3" i="8"/>
  <c r="Q4" i="8"/>
  <c r="J35" i="9"/>
  <c r="N35" i="9" s="1"/>
  <c r="AH30" i="11"/>
  <c r="V35" i="9"/>
  <c r="AA35" i="9" s="1"/>
  <c r="Q57" i="9" l="1"/>
  <c r="P57" i="9" s="1"/>
  <c r="S57" i="9" s="1"/>
  <c r="T82" i="8"/>
  <c r="R4" i="8"/>
  <c r="R3" i="8"/>
  <c r="I65" i="11" s="1"/>
  <c r="U82" i="8"/>
  <c r="S4" i="8"/>
  <c r="I44" i="11" s="1"/>
  <c r="AB36" i="9"/>
  <c r="K36" i="9"/>
  <c r="T36" i="9"/>
  <c r="R57" i="9" l="1"/>
  <c r="Q58" i="9"/>
  <c r="P58" i="9" s="1"/>
  <c r="S58" i="9" s="1"/>
  <c r="U3" i="8"/>
  <c r="U4" i="8"/>
  <c r="V82" i="8"/>
  <c r="T4" i="8"/>
  <c r="W36" i="9"/>
  <c r="Z36" i="9" s="1"/>
  <c r="I36" i="9"/>
  <c r="M36" i="9"/>
  <c r="Y36" i="9"/>
  <c r="R58" i="9" l="1"/>
  <c r="Q59" i="9"/>
  <c r="P59" i="9" s="1"/>
  <c r="S59" i="9" s="1"/>
  <c r="I41" i="11"/>
  <c r="D30" i="8"/>
  <c r="I48" i="11" s="1"/>
  <c r="V3" i="8"/>
  <c r="I69" i="11" s="1"/>
  <c r="V4" i="8"/>
  <c r="J36" i="9"/>
  <c r="N36" i="9" s="1"/>
  <c r="AH31" i="11"/>
  <c r="V36" i="9"/>
  <c r="AA36" i="9" s="1"/>
  <c r="R59" i="9" l="1"/>
  <c r="K37" i="9"/>
  <c r="AB37" i="9"/>
  <c r="T37" i="9"/>
  <c r="Q60" i="9" l="1"/>
  <c r="P60" i="9" s="1"/>
  <c r="S60" i="9" s="1"/>
  <c r="R60" i="9"/>
  <c r="M37" i="9"/>
  <c r="Y37" i="9"/>
  <c r="I37" i="9"/>
  <c r="W37" i="9"/>
  <c r="Z37" i="9" s="1"/>
  <c r="Q61" i="9" l="1"/>
  <c r="P61" i="9" s="1"/>
  <c r="S61" i="9" s="1"/>
  <c r="R61" i="9"/>
  <c r="J37" i="9"/>
  <c r="N37" i="9" s="1"/>
  <c r="AH32" i="11"/>
  <c r="V37" i="9"/>
  <c r="AA37" i="9" s="1"/>
  <c r="Q62" i="9" l="1"/>
  <c r="P62" i="9" s="1"/>
  <c r="S62" i="9" s="1"/>
  <c r="R62" i="9"/>
  <c r="AB38" i="9"/>
  <c r="K38" i="9"/>
  <c r="T38" i="9"/>
  <c r="Q63" i="9" l="1"/>
  <c r="P63" i="9" s="1"/>
  <c r="S63" i="9" s="1"/>
  <c r="R63" i="9"/>
  <c r="I38" i="9"/>
  <c r="W38" i="9"/>
  <c r="Z38" i="9" s="1"/>
  <c r="M38" i="9"/>
  <c r="Y38" i="9"/>
  <c r="Q64" i="9" l="1"/>
  <c r="P64" i="9" s="1"/>
  <c r="S64" i="9" s="1"/>
  <c r="R64" i="9"/>
  <c r="AH33" i="11"/>
  <c r="V38" i="9"/>
  <c r="AA38" i="9" s="1"/>
  <c r="J38" i="9"/>
  <c r="N38" i="9" s="1"/>
  <c r="Q65" i="9" l="1"/>
  <c r="P65" i="9" s="1"/>
  <c r="S65" i="9" s="1"/>
  <c r="K39" i="9"/>
  <c r="AB39" i="9"/>
  <c r="T39" i="9"/>
  <c r="R65" i="9" l="1"/>
  <c r="M39" i="9"/>
  <c r="Y39" i="9"/>
  <c r="I39" i="9"/>
  <c r="W39" i="9"/>
  <c r="Z39" i="9" s="1"/>
  <c r="Q66" i="9" l="1"/>
  <c r="P66" i="9" s="1"/>
  <c r="S66" i="9" s="1"/>
  <c r="J39" i="9"/>
  <c r="N39" i="9" s="1"/>
  <c r="AH34" i="11"/>
  <c r="V39" i="9"/>
  <c r="AA39" i="9" s="1"/>
  <c r="R66" i="9" l="1"/>
  <c r="AB40" i="9"/>
  <c r="K40" i="9"/>
  <c r="T40" i="9"/>
  <c r="Q67" i="9" l="1"/>
  <c r="P67" i="9" s="1"/>
  <c r="S67" i="9" s="1"/>
  <c r="R67" i="9"/>
  <c r="I40" i="9"/>
  <c r="W40" i="9"/>
  <c r="Z40" i="9" s="1"/>
  <c r="M40" i="9"/>
  <c r="Y40" i="9"/>
  <c r="Q68" i="9" l="1"/>
  <c r="P68" i="9" s="1"/>
  <c r="S68" i="9" s="1"/>
  <c r="R68" i="9"/>
  <c r="AH35" i="11"/>
  <c r="V40" i="9"/>
  <c r="AA40" i="9" s="1"/>
  <c r="J40" i="9"/>
  <c r="N40" i="9" s="1"/>
  <c r="Q69" i="9" l="1"/>
  <c r="P69" i="9" s="1"/>
  <c r="S69" i="9" s="1"/>
  <c r="R69" i="9"/>
  <c r="K41" i="9"/>
  <c r="AB41" i="9"/>
  <c r="T41" i="9"/>
  <c r="Q70" i="9" l="1"/>
  <c r="P70" i="9" s="1"/>
  <c r="S70" i="9" s="1"/>
  <c r="R70" i="9"/>
  <c r="I41" i="9"/>
  <c r="W41" i="9"/>
  <c r="Z41" i="9" s="1"/>
  <c r="M41" i="9"/>
  <c r="Y41" i="9"/>
  <c r="Q71" i="9" l="1"/>
  <c r="P71" i="9" s="1"/>
  <c r="S71" i="9" s="1"/>
  <c r="R71" i="9"/>
  <c r="AH36" i="11"/>
  <c r="V41" i="9"/>
  <c r="AA41" i="9" s="1"/>
  <c r="J41" i="9"/>
  <c r="N41" i="9" s="1"/>
  <c r="Q72" i="9" l="1"/>
  <c r="P72" i="9" s="1"/>
  <c r="S72" i="9" s="1"/>
  <c r="R72" i="9"/>
  <c r="AB42" i="9"/>
  <c r="K42" i="9"/>
  <c r="T42" i="9"/>
  <c r="Q73" i="9" l="1"/>
  <c r="P73" i="9" s="1"/>
  <c r="S73" i="9" s="1"/>
  <c r="R73" i="9"/>
  <c r="I42" i="9"/>
  <c r="W42" i="9"/>
  <c r="Z42" i="9" s="1"/>
  <c r="M42" i="9"/>
  <c r="Y42" i="9"/>
  <c r="Q74" i="9" l="1"/>
  <c r="P74" i="9" s="1"/>
  <c r="S74" i="9" s="1"/>
  <c r="R74" i="9"/>
  <c r="AH37" i="11"/>
  <c r="V42" i="9"/>
  <c r="AA42" i="9" s="1"/>
  <c r="J42" i="9"/>
  <c r="N42" i="9" s="1"/>
  <c r="Q75" i="9" l="1"/>
  <c r="P75" i="9" s="1"/>
  <c r="S75" i="9" s="1"/>
  <c r="R75" i="9"/>
  <c r="K43" i="9"/>
  <c r="AB43" i="9"/>
  <c r="T43" i="9"/>
  <c r="Q76" i="9" l="1"/>
  <c r="P76" i="9" s="1"/>
  <c r="S76" i="9" s="1"/>
  <c r="I43" i="9"/>
  <c r="W43" i="9"/>
  <c r="Z43" i="9" s="1"/>
  <c r="M43" i="9"/>
  <c r="Y43" i="9"/>
  <c r="R76" i="9" l="1"/>
  <c r="AH38" i="11"/>
  <c r="V43" i="9"/>
  <c r="AA43" i="9" s="1"/>
  <c r="J43" i="9"/>
  <c r="N43" i="9" s="1"/>
  <c r="Q77" i="9" l="1"/>
  <c r="P77" i="9" s="1"/>
  <c r="S77" i="9" s="1"/>
  <c r="R77" i="9"/>
  <c r="AB44" i="9"/>
  <c r="K44" i="9"/>
  <c r="T44" i="9"/>
  <c r="Q78" i="9" l="1"/>
  <c r="P78" i="9" s="1"/>
  <c r="S78" i="9" s="1"/>
  <c r="R78" i="9"/>
  <c r="I44" i="9"/>
  <c r="W44" i="9"/>
  <c r="Z44" i="9" s="1"/>
  <c r="M44" i="9"/>
  <c r="Y44" i="9"/>
  <c r="Q79" i="9" l="1"/>
  <c r="P79" i="9" s="1"/>
  <c r="S79" i="9" s="1"/>
  <c r="R79" i="9"/>
  <c r="AH39" i="11"/>
  <c r="V44" i="9"/>
  <c r="AA44" i="9" s="1"/>
  <c r="J44" i="9"/>
  <c r="N44" i="9" s="1"/>
  <c r="Q80" i="9" l="1"/>
  <c r="P80" i="9" s="1"/>
  <c r="S80" i="9" s="1"/>
  <c r="R80" i="9"/>
  <c r="K45" i="9"/>
  <c r="AB45" i="9"/>
  <c r="T45" i="9"/>
  <c r="Q81" i="9" l="1"/>
  <c r="P81" i="9" s="1"/>
  <c r="S81" i="9" s="1"/>
  <c r="S3" i="9" s="1"/>
  <c r="M45" i="9"/>
  <c r="Y45" i="9"/>
  <c r="W45" i="9"/>
  <c r="I45" i="9"/>
  <c r="R81" i="9" l="1"/>
  <c r="Z45" i="9"/>
  <c r="J45" i="9"/>
  <c r="N45" i="9" s="1"/>
  <c r="V45" i="9"/>
  <c r="AH40" i="11"/>
  <c r="AB46" i="9" l="1"/>
  <c r="T46" i="9"/>
  <c r="K46" i="9"/>
  <c r="AA45" i="9"/>
  <c r="W46" i="9" l="1"/>
  <c r="I46" i="9"/>
  <c r="Y46" i="9"/>
  <c r="M46" i="9"/>
  <c r="J46" i="9" l="1"/>
  <c r="N46" i="9" s="1"/>
  <c r="V46" i="9"/>
  <c r="AA46" i="9" s="1"/>
  <c r="AH41" i="11"/>
  <c r="Z46" i="9"/>
  <c r="AB47" i="9" l="1"/>
  <c r="T47" i="9"/>
  <c r="K47" i="9"/>
  <c r="W47" i="9" l="1"/>
  <c r="I47" i="9"/>
  <c r="Y47" i="9"/>
  <c r="M47" i="9"/>
  <c r="V47" i="9" l="1"/>
  <c r="AH42" i="11"/>
  <c r="J47" i="9"/>
  <c r="N47" i="9" s="1"/>
  <c r="AA47" i="9"/>
  <c r="Z47" i="9"/>
  <c r="AB48" i="9" l="1"/>
  <c r="T48" i="9"/>
  <c r="K48" i="9"/>
  <c r="W48" i="9" l="1"/>
  <c r="I48" i="9"/>
  <c r="Y48" i="9"/>
  <c r="M48" i="9"/>
  <c r="V48" i="9" l="1"/>
  <c r="AH43" i="11"/>
  <c r="J48" i="9"/>
  <c r="AA48" i="9"/>
  <c r="Z48" i="9"/>
  <c r="N48" i="9" l="1"/>
  <c r="AB49" i="9" l="1"/>
  <c r="K49" i="9"/>
  <c r="T49" i="9"/>
  <c r="W49" i="9" l="1"/>
  <c r="I49" i="9"/>
  <c r="Y49" i="9"/>
  <c r="M49" i="9"/>
  <c r="J49" i="9" l="1"/>
  <c r="V49" i="9"/>
  <c r="AH44" i="11"/>
  <c r="AA49" i="9"/>
  <c r="Z49" i="9"/>
  <c r="N49" i="9" l="1"/>
  <c r="AB50" i="9" l="1"/>
  <c r="K50" i="9"/>
  <c r="T50" i="9"/>
  <c r="W50" i="9" l="1"/>
  <c r="I50" i="9"/>
  <c r="Y50" i="9"/>
  <c r="M50" i="9"/>
  <c r="J50" i="9" l="1"/>
  <c r="N50" i="9"/>
  <c r="V50" i="9"/>
  <c r="AA50" i="9" s="1"/>
  <c r="AH45" i="11"/>
  <c r="Z50" i="9"/>
  <c r="AB51" i="9" l="1"/>
  <c r="T51" i="9"/>
  <c r="K51" i="9"/>
  <c r="W51" i="9" l="1"/>
  <c r="I51" i="9"/>
  <c r="Y51" i="9"/>
  <c r="M51" i="9"/>
  <c r="V51" i="9" l="1"/>
  <c r="AH46" i="11"/>
  <c r="J51" i="9"/>
  <c r="N51" i="9"/>
  <c r="AA51" i="9"/>
  <c r="Z51" i="9"/>
  <c r="AB52" i="9" l="1"/>
  <c r="K52" i="9"/>
  <c r="T52" i="9"/>
  <c r="W52" i="9" l="1"/>
  <c r="I52" i="9"/>
  <c r="Y52" i="9"/>
  <c r="M52" i="9"/>
  <c r="J52" i="9" l="1"/>
  <c r="N52" i="9"/>
  <c r="V52" i="9"/>
  <c r="AA52" i="9" s="1"/>
  <c r="AH47" i="11"/>
  <c r="Z52" i="9"/>
  <c r="AB53" i="9" l="1"/>
  <c r="T53" i="9"/>
  <c r="K53" i="9"/>
  <c r="W53" i="9" l="1"/>
  <c r="I53" i="9"/>
  <c r="Y53" i="9"/>
  <c r="M53" i="9"/>
  <c r="V53" i="9" l="1"/>
  <c r="AH48" i="11"/>
  <c r="J53" i="9"/>
  <c r="N53" i="9"/>
  <c r="AA53" i="9"/>
  <c r="Z53" i="9"/>
  <c r="AB54" i="9" l="1"/>
  <c r="T54" i="9"/>
  <c r="K54" i="9"/>
  <c r="W54" i="9" l="1"/>
  <c r="I54" i="9"/>
  <c r="Y54" i="9"/>
  <c r="M54" i="9"/>
  <c r="J54" i="9" l="1"/>
  <c r="N54" i="9"/>
  <c r="V54" i="9"/>
  <c r="AA54" i="9" s="1"/>
  <c r="AH49" i="11"/>
  <c r="Z54" i="9"/>
  <c r="AB55" i="9" l="1"/>
  <c r="T55" i="9"/>
  <c r="K55" i="9"/>
  <c r="W55" i="9" l="1"/>
  <c r="I55" i="9"/>
  <c r="Y55" i="9"/>
  <c r="M55" i="9"/>
  <c r="V55" i="9" l="1"/>
  <c r="AH50" i="11"/>
  <c r="J55" i="9"/>
  <c r="N55" i="9"/>
  <c r="AA55" i="9"/>
  <c r="Z55" i="9"/>
  <c r="AB56" i="9" l="1"/>
  <c r="K56" i="9"/>
  <c r="T56" i="9"/>
  <c r="W56" i="9" l="1"/>
  <c r="I56" i="9"/>
  <c r="Y56" i="9"/>
  <c r="M56" i="9"/>
  <c r="V56" i="9" l="1"/>
  <c r="AH51" i="11"/>
  <c r="J56" i="9"/>
  <c r="N56" i="9"/>
  <c r="AA56" i="9"/>
  <c r="Z56" i="9"/>
  <c r="AB57" i="9" l="1"/>
  <c r="T57" i="9"/>
  <c r="K57" i="9"/>
  <c r="W57" i="9" l="1"/>
  <c r="I57" i="9"/>
  <c r="Y57" i="9"/>
  <c r="M57" i="9"/>
  <c r="V57" i="9" l="1"/>
  <c r="AH52" i="11"/>
  <c r="J57" i="9"/>
  <c r="N57" i="9"/>
  <c r="AA57" i="9"/>
  <c r="Z57" i="9"/>
  <c r="AB58" i="9" l="1"/>
  <c r="T58" i="9"/>
  <c r="K58" i="9"/>
  <c r="W58" i="9" l="1"/>
  <c r="I58" i="9"/>
  <c r="Y58" i="9"/>
  <c r="M58" i="9"/>
  <c r="J58" i="9" l="1"/>
  <c r="N58" i="9" s="1"/>
  <c r="V58" i="9"/>
  <c r="AA58" i="9" s="1"/>
  <c r="AH53" i="11"/>
  <c r="Z58" i="9"/>
  <c r="AB59" i="9" l="1"/>
  <c r="T59" i="9"/>
  <c r="K59" i="9"/>
  <c r="W59" i="9" l="1"/>
  <c r="I59" i="9"/>
  <c r="Y59" i="9"/>
  <c r="M59" i="9"/>
  <c r="V59" i="9" l="1"/>
  <c r="AH54" i="11"/>
  <c r="J59" i="9"/>
  <c r="N59" i="9"/>
  <c r="AA59" i="9"/>
  <c r="Z59" i="9"/>
  <c r="AB60" i="9" l="1"/>
  <c r="T60" i="9"/>
  <c r="K60" i="9"/>
  <c r="W60" i="9" l="1"/>
  <c r="I60" i="9"/>
  <c r="Y60" i="9"/>
  <c r="M60" i="9"/>
  <c r="V60" i="9" l="1"/>
  <c r="AH55" i="11"/>
  <c r="J60" i="9"/>
  <c r="N60" i="9"/>
  <c r="AA60" i="9"/>
  <c r="Z60" i="9"/>
  <c r="AB61" i="9" l="1"/>
  <c r="K61" i="9"/>
  <c r="T61" i="9"/>
  <c r="W61" i="9" l="1"/>
  <c r="I61" i="9"/>
  <c r="Y61" i="9"/>
  <c r="M61" i="9"/>
  <c r="V61" i="9" l="1"/>
  <c r="AH56" i="11"/>
  <c r="J61" i="9"/>
  <c r="AA61" i="9"/>
  <c r="Z61" i="9"/>
  <c r="N61" i="9" l="1"/>
  <c r="AB62" i="9"/>
  <c r="T62" i="9"/>
  <c r="K62" i="9"/>
  <c r="W62" i="9" l="1"/>
  <c r="I62" i="9"/>
  <c r="Y62" i="9"/>
  <c r="M62" i="9"/>
  <c r="J62" i="9" l="1"/>
  <c r="N62" i="9"/>
  <c r="V62" i="9"/>
  <c r="AA62" i="9" s="1"/>
  <c r="AH57" i="11"/>
  <c r="Z62" i="9"/>
  <c r="AB63" i="9" l="1"/>
  <c r="K63" i="9"/>
  <c r="T63" i="9"/>
  <c r="W63" i="9" l="1"/>
  <c r="I63" i="9"/>
  <c r="Y63" i="9"/>
  <c r="M63" i="9"/>
  <c r="J63" i="9" l="1"/>
  <c r="N63" i="9"/>
  <c r="V63" i="9"/>
  <c r="AA63" i="9" s="1"/>
  <c r="AH58" i="11"/>
  <c r="Z63" i="9"/>
  <c r="AB64" i="9" l="1"/>
  <c r="T64" i="9"/>
  <c r="K64" i="9"/>
  <c r="W64" i="9" l="1"/>
  <c r="I64" i="9"/>
  <c r="Y64" i="9"/>
  <c r="M64" i="9"/>
  <c r="V64" i="9" l="1"/>
  <c r="AH59" i="11"/>
  <c r="J64" i="9"/>
  <c r="N64" i="9"/>
  <c r="AA64" i="9"/>
  <c r="Z64" i="9"/>
  <c r="AB65" i="9" l="1"/>
  <c r="T65" i="9"/>
  <c r="K65" i="9"/>
  <c r="W65" i="9" l="1"/>
  <c r="I65" i="9"/>
  <c r="Y65" i="9"/>
  <c r="M65" i="9"/>
  <c r="V65" i="9" l="1"/>
  <c r="AH60" i="11"/>
  <c r="J65" i="9"/>
  <c r="N65" i="9"/>
  <c r="AA65" i="9"/>
  <c r="Z65" i="9"/>
  <c r="AB66" i="9" l="1"/>
  <c r="K66" i="9"/>
  <c r="T66" i="9"/>
  <c r="W66" i="9" l="1"/>
  <c r="I66" i="9"/>
  <c r="Y66" i="9"/>
  <c r="M66" i="9"/>
  <c r="V66" i="9" l="1"/>
  <c r="AA66" i="9" s="1"/>
  <c r="AH61" i="11"/>
  <c r="J66" i="9"/>
  <c r="N66" i="9"/>
  <c r="Z66" i="9"/>
  <c r="AB67" i="9" l="1"/>
  <c r="K67" i="9"/>
  <c r="T67" i="9"/>
  <c r="W67" i="9" l="1"/>
  <c r="I67" i="9"/>
  <c r="Y67" i="9"/>
  <c r="M67" i="9"/>
  <c r="J67" i="9" l="1"/>
  <c r="N67" i="9"/>
  <c r="V67" i="9"/>
  <c r="AA67" i="9" s="1"/>
  <c r="AH62" i="11"/>
  <c r="Z67" i="9"/>
  <c r="AB68" i="9" l="1"/>
  <c r="K68" i="9"/>
  <c r="T68" i="9"/>
  <c r="W68" i="9" l="1"/>
  <c r="I68" i="9"/>
  <c r="Y68" i="9"/>
  <c r="M68" i="9"/>
  <c r="V68" i="9" l="1"/>
  <c r="AH63" i="11"/>
  <c r="J68" i="9"/>
  <c r="N68" i="9"/>
  <c r="AA68" i="9"/>
  <c r="Z68" i="9"/>
  <c r="AB69" i="9" l="1"/>
  <c r="K69" i="9"/>
  <c r="T69" i="9"/>
  <c r="W69" i="9" l="1"/>
  <c r="I69" i="9"/>
  <c r="Y69" i="9"/>
  <c r="Y4" i="9" s="1"/>
  <c r="M69" i="9"/>
  <c r="V69" i="9" l="1"/>
  <c r="AH64" i="11"/>
  <c r="J69" i="9"/>
  <c r="N69" i="9"/>
  <c r="AA69" i="9"/>
  <c r="Z69" i="9"/>
  <c r="AB70" i="9" l="1"/>
  <c r="M70" i="9" s="1"/>
  <c r="T70" i="9"/>
  <c r="K70" i="9"/>
  <c r="W70" i="9" l="1"/>
  <c r="I70" i="9"/>
  <c r="V70" i="9"/>
  <c r="AH65" i="11"/>
  <c r="J70" i="9" l="1"/>
  <c r="N70" i="9"/>
  <c r="AA70" i="9"/>
  <c r="Z70" i="9"/>
  <c r="AB71" i="9" l="1"/>
  <c r="M71" i="9" s="1"/>
  <c r="T71" i="9"/>
  <c r="K71" i="9"/>
  <c r="W71" i="9" l="1"/>
  <c r="I71" i="9"/>
  <c r="V71" i="9"/>
  <c r="AH66" i="11"/>
  <c r="J71" i="9" l="1"/>
  <c r="N71" i="9"/>
  <c r="AA71" i="9"/>
  <c r="Z71" i="9"/>
  <c r="AB72" i="9" l="1"/>
  <c r="M72" i="9" s="1"/>
  <c r="T72" i="9"/>
  <c r="K72" i="9"/>
  <c r="W72" i="9" l="1"/>
  <c r="I72" i="9"/>
  <c r="V72" i="9"/>
  <c r="AH67" i="11"/>
  <c r="J72" i="9" l="1"/>
  <c r="N72" i="9"/>
  <c r="AA72" i="9"/>
  <c r="Z72" i="9"/>
  <c r="AB73" i="9" l="1"/>
  <c r="M73" i="9" s="1"/>
  <c r="T73" i="9"/>
  <c r="K73" i="9"/>
  <c r="W73" i="9" l="1"/>
  <c r="I73" i="9"/>
  <c r="V73" i="9"/>
  <c r="AH68" i="11"/>
  <c r="J73" i="9" l="1"/>
  <c r="N73" i="9"/>
  <c r="AA73" i="9"/>
  <c r="Z73" i="9"/>
  <c r="AB74" i="9" l="1"/>
  <c r="M74" i="9" s="1"/>
  <c r="T74" i="9"/>
  <c r="K74" i="9"/>
  <c r="W74" i="9" l="1"/>
  <c r="I74" i="9"/>
  <c r="V74" i="9"/>
  <c r="AH69" i="11"/>
  <c r="J74" i="9" l="1"/>
  <c r="N74" i="9"/>
  <c r="AA74" i="9"/>
  <c r="Z74" i="9"/>
  <c r="AB75" i="9" l="1"/>
  <c r="M75" i="9" s="1"/>
  <c r="T75" i="9"/>
  <c r="K75" i="9"/>
  <c r="W75" i="9" l="1"/>
  <c r="I75" i="9"/>
  <c r="V75" i="9"/>
  <c r="AH70" i="11"/>
  <c r="J75" i="9" l="1"/>
  <c r="N75" i="9"/>
  <c r="AA75" i="9"/>
  <c r="Z75" i="9"/>
  <c r="AB76" i="9" l="1"/>
  <c r="M76" i="9" s="1"/>
  <c r="T76" i="9"/>
  <c r="K76" i="9"/>
  <c r="W76" i="9" l="1"/>
  <c r="I76" i="9"/>
  <c r="V76" i="9"/>
  <c r="AH71" i="11"/>
  <c r="J76" i="9" l="1"/>
  <c r="N76" i="9"/>
  <c r="AA76" i="9"/>
  <c r="Z76" i="9"/>
  <c r="AB77" i="9" l="1"/>
  <c r="M77" i="9" s="1"/>
  <c r="K77" i="9"/>
  <c r="T77" i="9"/>
  <c r="W77" i="9" l="1"/>
  <c r="I77" i="9"/>
  <c r="V77" i="9"/>
  <c r="AH72" i="11"/>
  <c r="J77" i="9" l="1"/>
  <c r="N77" i="9"/>
  <c r="AA77" i="9"/>
  <c r="Z77" i="9"/>
  <c r="AB78" i="9" l="1"/>
  <c r="M78" i="9" s="1"/>
  <c r="T78" i="9"/>
  <c r="K78" i="9"/>
  <c r="W78" i="9" l="1"/>
  <c r="I78" i="9"/>
  <c r="V78" i="9"/>
  <c r="AH73" i="11"/>
  <c r="J78" i="9" l="1"/>
  <c r="N78" i="9"/>
  <c r="AA78" i="9"/>
  <c r="Z78" i="9"/>
  <c r="AB79" i="9" l="1"/>
  <c r="M79" i="9" s="1"/>
  <c r="T79" i="9"/>
  <c r="K79" i="9"/>
  <c r="W79" i="9" l="1"/>
  <c r="I79" i="9"/>
  <c r="V79" i="9"/>
  <c r="AH74" i="11"/>
  <c r="J79" i="9" l="1"/>
  <c r="N79" i="9"/>
  <c r="AA79" i="9"/>
  <c r="Z79" i="9"/>
  <c r="AB80" i="9" l="1"/>
  <c r="M80" i="9" s="1"/>
  <c r="T80" i="9"/>
  <c r="K80" i="9"/>
  <c r="W80" i="9" l="1"/>
  <c r="I80" i="9"/>
  <c r="V80" i="9"/>
  <c r="AH75" i="11"/>
  <c r="J80" i="9" l="1"/>
  <c r="N80" i="9"/>
  <c r="AA80" i="9"/>
  <c r="Z80" i="9"/>
  <c r="AB81" i="9" l="1"/>
  <c r="T81" i="9"/>
  <c r="K81" i="9"/>
  <c r="W81" i="9" l="1"/>
  <c r="I81" i="9"/>
  <c r="K4" i="9"/>
  <c r="M81" i="9"/>
  <c r="AB4" i="9"/>
  <c r="L39" i="11" s="1"/>
  <c r="V81" i="9" l="1"/>
  <c r="V3" i="9" s="1"/>
  <c r="L65" i="11" s="1"/>
  <c r="AH76" i="11"/>
  <c r="M4" i="9"/>
  <c r="L36" i="11" s="1"/>
  <c r="L58" i="11" s="1"/>
  <c r="M3" i="9"/>
  <c r="L61" i="11" s="1"/>
  <c r="J81" i="9"/>
  <c r="N81" i="9" s="1"/>
  <c r="I4" i="9"/>
  <c r="AA81" i="9"/>
  <c r="AA3" i="9" s="1"/>
  <c r="L69" i="11" s="1"/>
  <c r="K74" i="11" s="1"/>
  <c r="Z81" i="9"/>
  <c r="Z3" i="9" s="1"/>
  <c r="W4" i="9"/>
  <c r="O4" i="9" l="1"/>
  <c r="L41" i="11" s="1"/>
  <c r="J4" i="9"/>
  <c r="L44" i="11"/>
  <c r="Y3" i="9"/>
  <c r="D35" i="9" l="1"/>
  <c r="L48" i="11" s="1"/>
</calcChain>
</file>

<file path=xl/sharedStrings.xml><?xml version="1.0" encoding="utf-8"?>
<sst xmlns="http://schemas.openxmlformats.org/spreadsheetml/2006/main" count="318" uniqueCount="149">
  <si>
    <t>Стоимость оборудования</t>
  </si>
  <si>
    <t>Аванс, %</t>
  </si>
  <si>
    <t>СПИ, мес</t>
  </si>
  <si>
    <t>НДС</t>
  </si>
  <si>
    <t>Возмещение НДС</t>
  </si>
  <si>
    <t>Экономия налога на прибыль</t>
  </si>
  <si>
    <t>Без НДС</t>
  </si>
  <si>
    <t>Срок, мес</t>
  </si>
  <si>
    <t>Срок, лет</t>
  </si>
  <si>
    <t>Аванс</t>
  </si>
  <si>
    <t>Выкупной платеж</t>
  </si>
  <si>
    <t>Ставка в мес</t>
  </si>
  <si>
    <t>Ставка в год</t>
  </si>
  <si>
    <t>Платеж</t>
  </si>
  <si>
    <t>без НДС</t>
  </si>
  <si>
    <t>Погашение стоимости имущества</t>
  </si>
  <si>
    <t>Лизинговый платеж</t>
  </si>
  <si>
    <t>Остаточная стоимость имущества</t>
  </si>
  <si>
    <t>Ставка НДС</t>
  </si>
  <si>
    <t>СПИ, лет</t>
  </si>
  <si>
    <t>Платеж по лизингу</t>
  </si>
  <si>
    <t>Удорожание</t>
  </si>
  <si>
    <t>Удорожание в год</t>
  </si>
  <si>
    <t>Процент по ставке</t>
  </si>
  <si>
    <t>Ост ст-ть*% в мес</t>
  </si>
  <si>
    <t>Выкупная стоимость</t>
  </si>
  <si>
    <t>НДС по процентам</t>
  </si>
  <si>
    <t>Сумма договора</t>
  </si>
  <si>
    <t>Ставка НП</t>
  </si>
  <si>
    <t>на расходы и ндс, и платеж</t>
  </si>
  <si>
    <t>Экономия НП от амортизации</t>
  </si>
  <si>
    <t>Кредитный платеж</t>
  </si>
  <si>
    <t>Платеж по кредиту</t>
  </si>
  <si>
    <t>Экономия налога на прибыль от %</t>
  </si>
  <si>
    <t>% по ставке ЦБ+3</t>
  </si>
  <si>
    <t>ЛП облагается НДС</t>
  </si>
  <si>
    <t>НДС возмещается по ОС и ЛП (по мере платежей)</t>
  </si>
  <si>
    <t>В расходы идет весь ЛП без НДС</t>
  </si>
  <si>
    <t>На % не начисляется НДС</t>
  </si>
  <si>
    <t>НДС на ОС возмещается сразу при постановке на учет</t>
  </si>
  <si>
    <t>В затраты идет только часть процентов, не превышающая ставку ЦБ+ 3</t>
  </si>
  <si>
    <t>Амортизация обычная</t>
  </si>
  <si>
    <t>Налогообложение</t>
  </si>
  <si>
    <t>С учетом всех вычетов</t>
  </si>
  <si>
    <t>УСН проценты в полной сумме</t>
  </si>
  <si>
    <t>В затраты идет только часть процентов</t>
  </si>
  <si>
    <t>ЧИСТВНДОХ</t>
  </si>
  <si>
    <t>в конце</t>
  </si>
  <si>
    <t>"остаточная стоимость без НДС"</t>
  </si>
  <si>
    <t>"процент при НДС"</t>
  </si>
  <si>
    <t>Поток без НДС</t>
  </si>
  <si>
    <t>Экономия НП от%</t>
  </si>
  <si>
    <t>Поток без НДС и НП</t>
  </si>
  <si>
    <t>"погашение"</t>
  </si>
  <si>
    <t>Основной долг</t>
  </si>
  <si>
    <t>Система налогообложения</t>
  </si>
  <si>
    <t>Форма процентов</t>
  </si>
  <si>
    <t>Стоимость оборудования, руб.</t>
  </si>
  <si>
    <t>Выкупной платеж, руб.</t>
  </si>
  <si>
    <t>НДС, %</t>
  </si>
  <si>
    <t>Налог на прибыль, %</t>
  </si>
  <si>
    <t>Ставка по заемным средствам</t>
  </si>
  <si>
    <t>Годовое удорожание</t>
  </si>
  <si>
    <t>НДС к возмещению</t>
  </si>
  <si>
    <t xml:space="preserve">Поток без НДС </t>
  </si>
  <si>
    <t>Аванс, руб.</t>
  </si>
  <si>
    <t>Собственные средства, %</t>
  </si>
  <si>
    <t>Собственные средства, руб.</t>
  </si>
  <si>
    <t>Собств ср-ва, %</t>
  </si>
  <si>
    <t>Собств ср-ва</t>
  </si>
  <si>
    <t>Ежемесячный платеж</t>
  </si>
  <si>
    <t>в т.ч. собственные средства (аванс)</t>
  </si>
  <si>
    <t>Процент по заемным средствам, %</t>
  </si>
  <si>
    <t>Ежемесячный платеж, руб. (только аннуитет)</t>
  </si>
  <si>
    <t>Аннуитетный</t>
  </si>
  <si>
    <t>Персональный</t>
  </si>
  <si>
    <t>Способ начисления процентов</t>
  </si>
  <si>
    <t>ЭП</t>
  </si>
  <si>
    <t>нет</t>
  </si>
  <si>
    <t>УСЛОВИЯ ДОГОВОРА ЛИЗИНГА</t>
  </si>
  <si>
    <t>УСЛОВИЯ ДОГОВОРА КРЕДИТОВАНИЯ</t>
  </si>
  <si>
    <r>
      <rPr>
        <b/>
        <sz val="10"/>
        <color rgb="FF0082BB"/>
        <rFont val="Arial"/>
        <family val="2"/>
        <charset val="204"/>
      </rPr>
      <t>выбор</t>
    </r>
    <r>
      <rPr>
        <sz val="10"/>
        <color rgb="FF0082BB"/>
        <rFont val="Arial"/>
        <family val="2"/>
        <charset val="204"/>
      </rPr>
      <t xml:space="preserve">: </t>
    </r>
    <r>
      <rPr>
        <sz val="10"/>
        <rFont val="Arial"/>
        <family val="2"/>
        <charset val="204"/>
      </rPr>
      <t>процент по договору или ежемесячный платеж</t>
    </r>
  </si>
  <si>
    <r>
      <rPr>
        <b/>
        <sz val="10"/>
        <color rgb="FF0082BB"/>
        <rFont val="Arial"/>
        <family val="2"/>
        <charset val="204"/>
      </rPr>
      <t>выбор</t>
    </r>
    <r>
      <rPr>
        <sz val="10"/>
        <color theme="1"/>
        <rFont val="Arial"/>
        <family val="2"/>
        <charset val="204"/>
      </rPr>
      <t>: в % от стоимости или в рублях</t>
    </r>
  </si>
  <si>
    <t>полная стоимость с НДС</t>
  </si>
  <si>
    <t>срок полезного использования для расчета амортизации</t>
  </si>
  <si>
    <t>ЛИЗИНГ</t>
  </si>
  <si>
    <t>КРЕДИТ</t>
  </si>
  <si>
    <t>сумма договора за вычетом НДС к возмещениию и экономии налога на прибыль</t>
  </si>
  <si>
    <t>Чистая сумма договора</t>
  </si>
  <si>
    <t>отношение переплаты к стоимости оборудования в годовом выражении</t>
  </si>
  <si>
    <t>процент, расчитанный на основе графика платежей по договору за вычетом НДС к возмещению</t>
  </si>
  <si>
    <t>Эффективная ставка с учетом возмещения НДС</t>
  </si>
  <si>
    <t>Эффективная ставка с учетом возмещения НДС и экономии налога на прибыль</t>
  </si>
  <si>
    <t>процент, расчитанный на основе графика платежей по договору за вычетом НДС к возмещению и экономии налога на прибыль</t>
  </si>
  <si>
    <t>ГРАФИК ПЛАТЕЖЕЙ ПО ЛИЗИНГУ</t>
  </si>
  <si>
    <t>ГРАФИК ПЛАТЕЖЕЙ ПО КРЕДИТУ</t>
  </si>
  <si>
    <t>Эффективная ставка на основе потока платежей</t>
  </si>
  <si>
    <t xml:space="preserve"> ОСН</t>
  </si>
  <si>
    <t>УСН (доход минус расход 15%)</t>
  </si>
  <si>
    <t>УСН (доход 6%)</t>
  </si>
  <si>
    <t>ЕНВД</t>
  </si>
  <si>
    <t>ЕСХН</t>
  </si>
  <si>
    <t>не учит</t>
  </si>
  <si>
    <t>НПД</t>
  </si>
  <si>
    <t>расходы</t>
  </si>
  <si>
    <t>весь лп 15%</t>
  </si>
  <si>
    <t>ПСН</t>
  </si>
  <si>
    <t>весь лп 6% если не платит ндс</t>
  </si>
  <si>
    <t>УСН (доход)</t>
  </si>
  <si>
    <t>УСН (доход минус расход)</t>
  </si>
  <si>
    <t>ОСН</t>
  </si>
  <si>
    <t>НДФЛ (физ. лицо)</t>
  </si>
  <si>
    <t>-</t>
  </si>
  <si>
    <t>4% или 6%</t>
  </si>
  <si>
    <t>определяется автоматически исходя из налогообложения</t>
  </si>
  <si>
    <t>возмещение ндс</t>
  </si>
  <si>
    <t>да</t>
  </si>
  <si>
    <t>ЕСХН плательщик НДС</t>
  </si>
  <si>
    <t>ЕСХН не плательщик НДС</t>
  </si>
  <si>
    <t>учет расходов</t>
  </si>
  <si>
    <t>налог</t>
  </si>
  <si>
    <t>Срок кредита, мес</t>
  </si>
  <si>
    <t>Срок лизинга, 
мес</t>
  </si>
  <si>
    <t>Экономия НП</t>
  </si>
  <si>
    <t>Собственные ср-ва</t>
  </si>
  <si>
    <t>процент, который начисляется на остаток основного долга</t>
  </si>
  <si>
    <t>Дифференцированный</t>
  </si>
  <si>
    <t>ПЕРСОНАЛЬНЫЙ ГРАФИК ПЛАТЕЖЕЙ ПО ЛИЗИНГУ</t>
  </si>
  <si>
    <t>равные ежемесячные платежи</t>
  </si>
  <si>
    <t>→</t>
  </si>
  <si>
    <t>Страхование</t>
  </si>
  <si>
    <t>Страхование, %</t>
  </si>
  <si>
    <t>страхование</t>
  </si>
  <si>
    <t>Лизинговый платеж со страхованием</t>
  </si>
  <si>
    <t>процент, расчитанный на основе графика платежей по договору с учетом страхования</t>
  </si>
  <si>
    <t>сумма всех платежей по договору ( с учетом собственных средств (аванса) и страхования)</t>
  </si>
  <si>
    <t>в т.ч. страхование</t>
  </si>
  <si>
    <t>только для аннуитетного способа начисления процентов (без учета страхования)</t>
  </si>
  <si>
    <t>Экономия НП от% и страхования</t>
  </si>
  <si>
    <t>Поток без НДС со страхованием</t>
  </si>
  <si>
    <t>Поток без НДС и НП со страхованием</t>
  </si>
  <si>
    <t>Экономия НП от страхования</t>
  </si>
  <si>
    <t>Кредитный платеж со страхованием</t>
  </si>
  <si>
    <t>единоразовая выплата в конце срока договора</t>
  </si>
  <si>
    <t>внесите размер платежей</t>
  </si>
  <si>
    <t>Для договора лизинга рассчитана на временном горизонте, равном сроку лизинга, а для кредитного договора - на временном горизонте, равном сроку кредитования</t>
  </si>
  <si>
    <t>Для договора лизинга рассчитана на временном горизонте, равном сроку лизинга, а для кредитного договора - на временном горизонте, равном сроку амортизации имущества</t>
  </si>
  <si>
    <t>годовой процент по страхованию</t>
  </si>
  <si>
    <t>размер платежей установлен индивидуально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</si>
</sst>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\ &quot;₽&quot;;[Red]\-#,##0.00\ &quot;₽&quot;"/>
    <numFmt numFmtId="165" formatCode="_-* #,##0.00_-;\-* #,##0.00_-;_-* &quot;-&quot;??_-;_-@_-"/>
    <numFmt numFmtId="166" formatCode="_-* #,##0.00\ _₽_-;\-* #,##0.00\ _₽_-;_-* &quot;-&quot;??\ _₽_-;_-@_-"/>
    <numFmt numFmtId="167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82BB"/>
      <name val="Arial"/>
      <family val="2"/>
      <charset val="204"/>
    </font>
    <font>
      <sz val="11"/>
      <color rgb="FF0082BB"/>
      <name val="Arial"/>
      <family val="2"/>
      <charset val="204"/>
    </font>
    <font>
      <b/>
      <sz val="10"/>
      <color rgb="FF0082BB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i/>
      <sz val="12"/>
      <color rgb="FF0082BB"/>
      <name val="Arial"/>
      <family val="2"/>
      <charset val="204"/>
    </font>
    <font>
      <sz val="12"/>
      <color rgb="FF0082BB"/>
      <name val="Calibri"/>
      <family val="2"/>
      <charset val="204"/>
    </font>
    <font>
      <sz val="12"/>
      <color rgb="FF0082BB"/>
      <name val="Arial"/>
      <family val="2"/>
      <charset val="204"/>
    </font>
    <font>
      <sz val="12"/>
      <color theme="0"/>
      <name val="Arial"/>
      <family val="2"/>
      <charset val="204"/>
    </font>
    <font>
      <b/>
      <sz val="12"/>
      <color theme="0"/>
      <name val="Arial"/>
      <family val="2"/>
      <charset val="204"/>
    </font>
    <font>
      <sz val="11"/>
      <color rgb="FF0070C0"/>
      <name val="Arial"/>
      <family val="2"/>
      <charset val="204"/>
    </font>
    <font>
      <b/>
      <sz val="12"/>
      <color rgb="FF0070C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5FB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 style="double">
        <color rgb="FF0082BB"/>
      </right>
      <top/>
      <bottom/>
      <diagonal/>
    </border>
    <border>
      <left/>
      <right/>
      <top/>
      <bottom style="double">
        <color rgb="FF0082BB"/>
      </bottom>
      <diagonal/>
    </border>
    <border>
      <left/>
      <right style="double">
        <color rgb="FF0082BB"/>
      </right>
      <top/>
      <bottom style="double">
        <color rgb="FF0082BB"/>
      </bottom>
      <diagonal/>
    </border>
    <border>
      <left/>
      <right/>
      <top style="double">
        <color rgb="FF0082BB"/>
      </top>
      <bottom/>
      <diagonal/>
    </border>
    <border>
      <left/>
      <right style="double">
        <color rgb="FF0082BB"/>
      </right>
      <top style="double">
        <color rgb="FF0082BB"/>
      </top>
      <bottom/>
      <diagonal/>
    </border>
    <border>
      <left style="double">
        <color rgb="FF0082BB"/>
      </left>
      <right/>
      <top style="double">
        <color rgb="FF0082BB"/>
      </top>
      <bottom/>
      <diagonal/>
    </border>
    <border>
      <left style="double">
        <color rgb="FF0082BB"/>
      </left>
      <right/>
      <top/>
      <bottom/>
      <diagonal/>
    </border>
    <border>
      <left style="double">
        <color rgb="FF0082BB"/>
      </left>
      <right/>
      <top/>
      <bottom style="double">
        <color rgb="FF0082BB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5">
    <xf numFmtId="0" fontId="0" fillId="0" borderId="0" xfId="0"/>
    <xf numFmtId="2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165" fontId="0" fillId="3" borderId="0" xfId="1" applyNumberFormat="1" applyFont="1" applyFill="1"/>
    <xf numFmtId="0" fontId="0" fillId="3" borderId="0" xfId="0" applyFill="1"/>
    <xf numFmtId="0" fontId="0" fillId="0" borderId="0" xfId="0" applyAlignment="1">
      <alignment horizontal="center" vertical="center"/>
    </xf>
    <xf numFmtId="9" fontId="0" fillId="0" borderId="0" xfId="2" applyFont="1"/>
    <xf numFmtId="9" fontId="0" fillId="3" borderId="0" xfId="2" applyFont="1" applyFill="1"/>
    <xf numFmtId="167" fontId="0" fillId="0" borderId="0" xfId="2" applyNumberFormat="1" applyFont="1"/>
    <xf numFmtId="10" fontId="0" fillId="0" borderId="0" xfId="2" applyNumberFormat="1" applyFont="1"/>
    <xf numFmtId="10" fontId="0" fillId="3" borderId="0" xfId="2" applyNumberFormat="1" applyFont="1" applyFill="1"/>
    <xf numFmtId="2" fontId="0" fillId="0" borderId="0" xfId="1" applyNumberFormat="1" applyFont="1"/>
    <xf numFmtId="164" fontId="0" fillId="0" borderId="0" xfId="0" applyNumberFormat="1"/>
    <xf numFmtId="167" fontId="0" fillId="2" borderId="0" xfId="2" applyNumberFormat="1" applyFont="1" applyFill="1"/>
    <xf numFmtId="0" fontId="0" fillId="0" borderId="0" xfId="0" applyAlignment="1">
      <alignment horizontal="center" vertical="center"/>
    </xf>
    <xf numFmtId="165" fontId="0" fillId="0" borderId="0" xfId="1" applyFont="1"/>
    <xf numFmtId="165" fontId="0" fillId="0" borderId="0" xfId="0" applyNumberFormat="1"/>
    <xf numFmtId="9" fontId="0" fillId="0" borderId="0" xfId="0" applyNumberFormat="1"/>
    <xf numFmtId="10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4" borderId="0" xfId="0" applyFill="1"/>
    <xf numFmtId="165" fontId="0" fillId="4" borderId="0" xfId="1" applyFont="1" applyFill="1"/>
    <xf numFmtId="0" fontId="0" fillId="5" borderId="0" xfId="0" applyFill="1"/>
    <xf numFmtId="10" fontId="0" fillId="0" borderId="0" xfId="2" applyNumberFormat="1" applyFont="1" applyFill="1"/>
    <xf numFmtId="165" fontId="0" fillId="5" borderId="0" xfId="1" applyFont="1" applyFill="1"/>
    <xf numFmtId="2" fontId="0" fillId="5" borderId="0" xfId="0" applyNumberFormat="1" applyFill="1"/>
    <xf numFmtId="166" fontId="0" fillId="5" borderId="0" xfId="0" applyNumberFormat="1" applyFill="1"/>
    <xf numFmtId="0" fontId="0" fillId="0" borderId="0" xfId="0" applyFill="1"/>
    <xf numFmtId="167" fontId="0" fillId="6" borderId="0" xfId="2" applyNumberFormat="1" applyFont="1" applyFill="1"/>
    <xf numFmtId="165" fontId="0" fillId="5" borderId="0" xfId="0" applyNumberFormat="1" applyFill="1"/>
    <xf numFmtId="0" fontId="0" fillId="7" borderId="0" xfId="0" applyFill="1"/>
    <xf numFmtId="0" fontId="0" fillId="7" borderId="0" xfId="0" applyFill="1" applyBorder="1"/>
    <xf numFmtId="167" fontId="0" fillId="5" borderId="0" xfId="2" applyNumberFormat="1" applyFont="1" applyFill="1"/>
    <xf numFmtId="10" fontId="0" fillId="6" borderId="0" xfId="2" applyNumberFormat="1" applyFont="1" applyFill="1"/>
    <xf numFmtId="9" fontId="0" fillId="0" borderId="0" xfId="2" applyNumberFormat="1" applyFont="1"/>
    <xf numFmtId="9" fontId="0" fillId="0" borderId="0" xfId="2" applyFont="1" applyFill="1"/>
    <xf numFmtId="0" fontId="2" fillId="7" borderId="0" xfId="0" applyFont="1" applyFill="1" applyBorder="1"/>
    <xf numFmtId="0" fontId="0" fillId="0" borderId="0" xfId="0" applyBorder="1"/>
    <xf numFmtId="0" fontId="2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/>
    <xf numFmtId="0" fontId="0" fillId="7" borderId="0" xfId="0" applyFill="1" applyBorder="1" applyAlignment="1">
      <alignment horizontal="center" vertical="center"/>
    </xf>
    <xf numFmtId="0" fontId="9" fillId="7" borderId="0" xfId="0" applyFont="1" applyFill="1" applyBorder="1" applyAlignment="1">
      <alignment horizontal="center" vertical="center"/>
    </xf>
    <xf numFmtId="0" fontId="0" fillId="7" borderId="0" xfId="0" applyFill="1" applyAlignment="1">
      <alignment horizontal="center" vertical="top"/>
    </xf>
    <xf numFmtId="0" fontId="10" fillId="7" borderId="0" xfId="0" applyFont="1" applyFill="1" applyBorder="1" applyAlignment="1">
      <alignment horizontal="center" vertical="center" wrapText="1"/>
    </xf>
    <xf numFmtId="165" fontId="2" fillId="7" borderId="0" xfId="1" applyFont="1" applyFill="1" applyBorder="1" applyAlignment="1">
      <alignment horizontal="center" vertical="center" wrapText="1"/>
    </xf>
    <xf numFmtId="10" fontId="2" fillId="7" borderId="0" xfId="2" applyNumberFormat="1" applyFont="1" applyFill="1" applyBorder="1" applyAlignment="1">
      <alignment horizontal="right" vertical="center" wrapText="1"/>
    </xf>
    <xf numFmtId="0" fontId="2" fillId="7" borderId="0" xfId="0" applyFont="1" applyFill="1" applyBorder="1" applyAlignment="1">
      <alignment horizontal="center" vertical="center" wrapText="1"/>
    </xf>
    <xf numFmtId="165" fontId="2" fillId="7" borderId="0" xfId="0" applyNumberFormat="1" applyFont="1" applyFill="1" applyBorder="1"/>
    <xf numFmtId="0" fontId="2" fillId="7" borderId="0" xfId="0" applyFont="1" applyFill="1"/>
    <xf numFmtId="0" fontId="2" fillId="0" borderId="0" xfId="0" applyFont="1"/>
    <xf numFmtId="0" fontId="11" fillId="7" borderId="0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2" fontId="0" fillId="0" borderId="0" xfId="2" applyNumberFormat="1" applyFont="1" applyAlignment="1">
      <alignment horizontal="center" wrapText="1"/>
    </xf>
    <xf numFmtId="165" fontId="0" fillId="0" borderId="0" xfId="2" applyNumberFormat="1" applyFont="1"/>
    <xf numFmtId="0" fontId="0" fillId="9" borderId="0" xfId="0" applyFill="1"/>
    <xf numFmtId="165" fontId="0" fillId="9" borderId="0" xfId="1" applyFont="1" applyFill="1"/>
    <xf numFmtId="0" fontId="12" fillId="7" borderId="0" xfId="0" applyFont="1" applyFill="1" applyBorder="1"/>
    <xf numFmtId="0" fontId="13" fillId="7" borderId="0" xfId="0" applyFont="1" applyFill="1" applyBorder="1"/>
    <xf numFmtId="0" fontId="3" fillId="7" borderId="0" xfId="0" applyFont="1" applyFill="1" applyBorder="1" applyAlignment="1">
      <alignment horizontal="center" wrapText="1"/>
    </xf>
    <xf numFmtId="10" fontId="0" fillId="5" borderId="0" xfId="2" applyNumberFormat="1" applyFont="1" applyFill="1"/>
    <xf numFmtId="2" fontId="0" fillId="5" borderId="0" xfId="2" applyNumberFormat="1" applyFont="1" applyFill="1" applyAlignment="1">
      <alignment horizontal="center" wrapText="1"/>
    </xf>
    <xf numFmtId="165" fontId="0" fillId="5" borderId="0" xfId="2" applyNumberFormat="1" applyFont="1" applyFill="1"/>
    <xf numFmtId="10" fontId="0" fillId="5" borderId="0" xfId="2" applyNumberFormat="1" applyFont="1" applyFill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0" fillId="7" borderId="9" xfId="0" applyFill="1" applyBorder="1" applyProtection="1">
      <protection locked="0"/>
    </xf>
    <xf numFmtId="0" fontId="2" fillId="7" borderId="10" xfId="0" applyFont="1" applyFill="1" applyBorder="1" applyProtection="1">
      <protection locked="0"/>
    </xf>
    <xf numFmtId="0" fontId="0" fillId="7" borderId="10" xfId="0" applyFill="1" applyBorder="1" applyProtection="1">
      <protection locked="0"/>
    </xf>
    <xf numFmtId="0" fontId="2" fillId="7" borderId="11" xfId="0" applyFont="1" applyFill="1" applyBorder="1" applyProtection="1">
      <protection locked="0"/>
    </xf>
    <xf numFmtId="0" fontId="0" fillId="7" borderId="12" xfId="0" applyFill="1" applyBorder="1" applyProtection="1">
      <protection locked="0"/>
    </xf>
    <xf numFmtId="0" fontId="2" fillId="7" borderId="0" xfId="0" applyFont="1" applyFill="1" applyBorder="1" applyProtection="1">
      <protection locked="0"/>
    </xf>
    <xf numFmtId="0" fontId="2" fillId="7" borderId="13" xfId="0" applyFont="1" applyFill="1" applyBorder="1" applyProtection="1">
      <protection locked="0"/>
    </xf>
    <xf numFmtId="0" fontId="4" fillId="7" borderId="0" xfId="0" applyFont="1" applyFill="1" applyBorder="1" applyAlignment="1" applyProtection="1">
      <alignment vertical="top" wrapText="1"/>
      <protection locked="0"/>
    </xf>
    <xf numFmtId="0" fontId="4" fillId="7" borderId="0" xfId="0" applyFont="1" applyFill="1" applyBorder="1" applyAlignment="1" applyProtection="1">
      <alignment horizontal="center" vertical="top" wrapText="1"/>
      <protection locked="0"/>
    </xf>
    <xf numFmtId="0" fontId="0" fillId="7" borderId="14" xfId="0" applyFill="1" applyBorder="1" applyProtection="1">
      <protection locked="0"/>
    </xf>
    <xf numFmtId="0" fontId="2" fillId="7" borderId="15" xfId="0" applyFont="1" applyFill="1" applyBorder="1" applyProtection="1">
      <protection locked="0"/>
    </xf>
    <xf numFmtId="0" fontId="2" fillId="7" borderId="16" xfId="0" applyFont="1" applyFill="1" applyBorder="1" applyProtection="1">
      <protection locked="0"/>
    </xf>
    <xf numFmtId="0" fontId="0" fillId="0" borderId="0" xfId="0" applyFill="1" applyBorder="1"/>
    <xf numFmtId="0" fontId="11" fillId="0" borderId="0" xfId="0" applyFont="1" applyFill="1" applyBorder="1" applyAlignment="1">
      <alignment horizontal="center"/>
    </xf>
    <xf numFmtId="0" fontId="2" fillId="0" borderId="0" xfId="0" applyFont="1" applyFill="1" applyBorder="1"/>
    <xf numFmtId="165" fontId="2" fillId="0" borderId="0" xfId="0" applyNumberFormat="1" applyFont="1" applyFill="1" applyBorder="1"/>
    <xf numFmtId="0" fontId="17" fillId="7" borderId="0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3" fillId="7" borderId="0" xfId="0" applyFont="1" applyFill="1" applyBorder="1" applyAlignment="1">
      <alignment horizontal="center" wrapText="1"/>
    </xf>
    <xf numFmtId="0" fontId="0" fillId="7" borderId="12" xfId="0" applyFill="1" applyBorder="1" applyAlignment="1" applyProtection="1">
      <alignment horizontal="center" wrapText="1"/>
      <protection locked="0"/>
    </xf>
    <xf numFmtId="0" fontId="0" fillId="7" borderId="0" xfId="0" applyFill="1" applyBorder="1" applyAlignment="1" applyProtection="1">
      <alignment horizontal="center" wrapText="1"/>
      <protection locked="0"/>
    </xf>
    <xf numFmtId="0" fontId="10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right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7" borderId="0" xfId="0" applyFont="1" applyFill="1" applyBorder="1" applyAlignment="1" applyProtection="1">
      <alignment horizontal="center" vertical="center" wrapText="1"/>
      <protection locked="0"/>
    </xf>
    <xf numFmtId="0" fontId="4" fillId="7" borderId="12" xfId="0" applyFont="1" applyFill="1" applyBorder="1" applyAlignment="1" applyProtection="1">
      <alignment horizontal="center" vertical="center" wrapText="1"/>
      <protection locked="0"/>
    </xf>
    <xf numFmtId="165" fontId="2" fillId="7" borderId="6" xfId="1" applyFont="1" applyFill="1" applyBorder="1" applyAlignment="1" applyProtection="1">
      <alignment horizontal="right" vertical="center"/>
      <protection locked="0"/>
    </xf>
    <xf numFmtId="165" fontId="2" fillId="7" borderId="4" xfId="1" applyFont="1" applyFill="1" applyBorder="1" applyAlignment="1" applyProtection="1">
      <alignment horizontal="right" vertical="center"/>
      <protection locked="0"/>
    </xf>
    <xf numFmtId="165" fontId="2" fillId="7" borderId="7" xfId="1" applyFont="1" applyFill="1" applyBorder="1" applyAlignment="1" applyProtection="1">
      <alignment horizontal="right" vertical="center"/>
      <protection locked="0"/>
    </xf>
    <xf numFmtId="165" fontId="2" fillId="7" borderId="0" xfId="1" applyFont="1" applyFill="1" applyBorder="1" applyAlignment="1" applyProtection="1">
      <alignment horizontal="right" vertical="center"/>
      <protection locked="0"/>
    </xf>
    <xf numFmtId="0" fontId="2" fillId="7" borderId="0" xfId="0" applyFont="1" applyFill="1" applyBorder="1" applyAlignment="1">
      <alignment horizontal="center" wrapText="1"/>
    </xf>
    <xf numFmtId="0" fontId="15" fillId="7" borderId="4" xfId="0" applyFont="1" applyFill="1" applyBorder="1" applyAlignment="1" applyProtection="1">
      <alignment horizontal="center" vertical="center" wrapText="1"/>
      <protection locked="0"/>
    </xf>
    <xf numFmtId="0" fontId="15" fillId="7" borderId="5" xfId="0" applyFont="1" applyFill="1" applyBorder="1" applyAlignment="1" applyProtection="1">
      <alignment horizontal="center" vertical="center" wrapText="1"/>
      <protection locked="0"/>
    </xf>
    <xf numFmtId="0" fontId="15" fillId="7" borderId="0" xfId="0" applyFont="1" applyFill="1" applyBorder="1" applyAlignment="1" applyProtection="1">
      <alignment horizontal="center" vertical="center" wrapText="1"/>
      <protection locked="0"/>
    </xf>
    <xf numFmtId="0" fontId="15" fillId="7" borderId="1" xfId="0" applyFont="1" applyFill="1" applyBorder="1" applyAlignment="1" applyProtection="1">
      <alignment horizontal="center" vertical="center" wrapText="1"/>
      <protection locked="0"/>
    </xf>
    <xf numFmtId="0" fontId="15" fillId="7" borderId="2" xfId="0" applyFont="1" applyFill="1" applyBorder="1" applyAlignment="1" applyProtection="1">
      <alignment horizontal="center" vertical="center" wrapText="1"/>
      <protection locked="0"/>
    </xf>
    <xf numFmtId="0" fontId="15" fillId="7" borderId="3" xfId="0" applyFont="1" applyFill="1" applyBorder="1" applyAlignment="1" applyProtection="1">
      <alignment horizontal="center" vertical="center" wrapText="1"/>
      <protection locked="0"/>
    </xf>
    <xf numFmtId="165" fontId="2" fillId="7" borderId="8" xfId="1" applyFont="1" applyFill="1" applyBorder="1" applyAlignment="1" applyProtection="1">
      <alignment horizontal="right" vertical="center"/>
      <protection locked="0"/>
    </xf>
    <xf numFmtId="165" fontId="2" fillId="7" borderId="2" xfId="1" applyFont="1" applyFill="1" applyBorder="1" applyAlignment="1" applyProtection="1">
      <alignment horizontal="right" vertical="center"/>
      <protection locked="0"/>
    </xf>
    <xf numFmtId="0" fontId="3" fillId="7" borderId="4" xfId="0" applyFont="1" applyFill="1" applyBorder="1" applyAlignment="1" applyProtection="1">
      <alignment horizontal="center" vertical="center"/>
      <protection locked="0"/>
    </xf>
    <xf numFmtId="0" fontId="3" fillId="7" borderId="5" xfId="0" applyFont="1" applyFill="1" applyBorder="1" applyAlignment="1" applyProtection="1">
      <alignment horizontal="center" vertical="center"/>
      <protection locked="0"/>
    </xf>
    <xf numFmtId="0" fontId="3" fillId="7" borderId="0" xfId="0" applyFont="1" applyFill="1" applyBorder="1" applyAlignment="1" applyProtection="1">
      <alignment horizontal="center" vertical="center"/>
      <protection locked="0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2" fillId="7" borderId="4" xfId="0" applyFont="1" applyFill="1" applyBorder="1" applyAlignment="1" applyProtection="1">
      <alignment horizontal="right" vertical="center"/>
      <protection locked="0"/>
    </xf>
    <xf numFmtId="0" fontId="2" fillId="7" borderId="0" xfId="0" applyFont="1" applyFill="1" applyBorder="1" applyAlignment="1" applyProtection="1">
      <alignment horizontal="right" vertical="center"/>
      <protection locked="0"/>
    </xf>
    <xf numFmtId="0" fontId="3" fillId="7" borderId="0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2" xfId="0" applyFont="1" applyFill="1" applyBorder="1" applyAlignment="1" applyProtection="1">
      <alignment horizontal="center" vertical="center" wrapText="1"/>
      <protection locked="0"/>
    </xf>
    <xf numFmtId="0" fontId="3" fillId="7" borderId="3" xfId="0" applyFont="1" applyFill="1" applyBorder="1" applyAlignment="1" applyProtection="1">
      <alignment horizontal="center" vertical="center" wrapText="1"/>
      <protection locked="0"/>
    </xf>
    <xf numFmtId="0" fontId="3" fillId="7" borderId="0" xfId="0" applyFont="1" applyFill="1" applyBorder="1" applyAlignment="1" applyProtection="1">
      <alignment horizontal="center"/>
      <protection locked="0"/>
    </xf>
    <xf numFmtId="0" fontId="2" fillId="7" borderId="6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right" vertical="center"/>
      <protection locked="0"/>
    </xf>
    <xf numFmtId="0" fontId="2" fillId="7" borderId="2" xfId="0" applyFont="1" applyFill="1" applyBorder="1" applyAlignment="1" applyProtection="1">
      <alignment horizontal="right" vertical="center"/>
      <protection locked="0"/>
    </xf>
    <xf numFmtId="0" fontId="3" fillId="7" borderId="2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 applyProtection="1">
      <alignment horizontal="center" vertical="center"/>
      <protection locked="0"/>
    </xf>
    <xf numFmtId="0" fontId="3" fillId="7" borderId="4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10" fontId="2" fillId="7" borderId="0" xfId="2" applyNumberFormat="1" applyFont="1" applyFill="1" applyBorder="1" applyAlignment="1">
      <alignment horizontal="right" vertical="center" wrapText="1"/>
    </xf>
    <xf numFmtId="165" fontId="2" fillId="7" borderId="0" xfId="1" applyFont="1" applyFill="1" applyBorder="1" applyAlignment="1">
      <alignment horizontal="center" vertical="center" wrapText="1"/>
    </xf>
    <xf numFmtId="165" fontId="2" fillId="8" borderId="0" xfId="1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right" vertical="center" wrapText="1"/>
    </xf>
    <xf numFmtId="0" fontId="2" fillId="7" borderId="7" xfId="0" applyFont="1" applyFill="1" applyBorder="1" applyAlignment="1" applyProtection="1">
      <alignment horizontal="right" vertical="center"/>
      <protection locked="0"/>
    </xf>
    <xf numFmtId="165" fontId="2" fillId="7" borderId="0" xfId="1" applyFont="1" applyFill="1" applyBorder="1" applyAlignment="1" applyProtection="1">
      <alignment horizontal="center" vertical="center"/>
      <protection locked="0"/>
    </xf>
    <xf numFmtId="165" fontId="2" fillId="7" borderId="2" xfId="1" applyFont="1" applyFill="1" applyBorder="1" applyAlignment="1" applyProtection="1">
      <alignment horizontal="center" vertical="center"/>
      <protection locked="0"/>
    </xf>
    <xf numFmtId="0" fontId="14" fillId="7" borderId="4" xfId="0" applyFont="1" applyFill="1" applyBorder="1" applyAlignment="1" applyProtection="1">
      <alignment horizontal="right" vertical="center" wrapText="1"/>
      <protection locked="0"/>
    </xf>
    <xf numFmtId="0" fontId="14" fillId="7" borderId="2" xfId="0" applyFont="1" applyFill="1" applyBorder="1" applyAlignment="1" applyProtection="1">
      <alignment horizontal="right" vertical="center" wrapText="1"/>
      <protection locked="0"/>
    </xf>
    <xf numFmtId="0" fontId="3" fillId="8" borderId="0" xfId="0" applyFont="1" applyFill="1" applyBorder="1" applyAlignment="1">
      <alignment horizontal="center" vertical="center" wrapText="1"/>
    </xf>
    <xf numFmtId="0" fontId="3" fillId="7" borderId="0" xfId="0" applyFont="1" applyFill="1" applyBorder="1" applyAlignment="1">
      <alignment horizontal="center" vertical="center" wrapText="1"/>
    </xf>
    <xf numFmtId="10" fontId="2" fillId="8" borderId="0" xfId="2" applyNumberFormat="1" applyFont="1" applyFill="1" applyBorder="1" applyAlignment="1">
      <alignment horizontal="right" vertical="center" wrapText="1"/>
    </xf>
    <xf numFmtId="10" fontId="2" fillId="7" borderId="0" xfId="2" applyNumberFormat="1" applyFont="1" applyFill="1" applyBorder="1" applyAlignment="1">
      <alignment horizontal="right" vertical="center"/>
    </xf>
    <xf numFmtId="0" fontId="5" fillId="7" borderId="12" xfId="0" applyFont="1" applyFill="1" applyBorder="1" applyAlignment="1" applyProtection="1">
      <alignment horizontal="center" vertical="center" wrapText="1"/>
      <protection locked="0"/>
    </xf>
    <xf numFmtId="0" fontId="6" fillId="7" borderId="0" xfId="0" applyFont="1" applyFill="1" applyBorder="1" applyAlignment="1" applyProtection="1">
      <alignment horizontal="center" vertical="center" wrapText="1"/>
      <protection locked="0"/>
    </xf>
    <xf numFmtId="0" fontId="6" fillId="7" borderId="12" xfId="0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 applyBorder="1" applyAlignment="1" applyProtection="1">
      <alignment horizontal="center" vertical="center" wrapText="1"/>
      <protection locked="0"/>
    </xf>
    <xf numFmtId="0" fontId="2" fillId="7" borderId="6" xfId="0" applyFont="1" applyFill="1" applyBorder="1" applyAlignment="1" applyProtection="1">
      <alignment horizontal="right" vertical="center" wrapText="1"/>
      <protection locked="0"/>
    </xf>
    <xf numFmtId="0" fontId="2" fillId="7" borderId="4" xfId="0" applyFont="1" applyFill="1" applyBorder="1" applyAlignment="1" applyProtection="1">
      <alignment horizontal="right" vertical="center" wrapText="1"/>
      <protection locked="0"/>
    </xf>
    <xf numFmtId="0" fontId="2" fillId="7" borderId="7" xfId="0" applyFont="1" applyFill="1" applyBorder="1" applyAlignment="1" applyProtection="1">
      <alignment horizontal="right" vertical="center" wrapText="1"/>
      <protection locked="0"/>
    </xf>
    <xf numFmtId="0" fontId="2" fillId="7" borderId="0" xfId="0" applyFont="1" applyFill="1" applyBorder="1" applyAlignment="1" applyProtection="1">
      <alignment horizontal="right" vertical="center" wrapText="1"/>
      <protection locked="0"/>
    </xf>
    <xf numFmtId="0" fontId="2" fillId="7" borderId="8" xfId="0" applyFont="1" applyFill="1" applyBorder="1" applyAlignment="1" applyProtection="1">
      <alignment horizontal="right" vertical="center" wrapText="1"/>
      <protection locked="0"/>
    </xf>
    <xf numFmtId="0" fontId="2" fillId="7" borderId="2" xfId="0" applyFont="1" applyFill="1" applyBorder="1" applyAlignment="1" applyProtection="1">
      <alignment horizontal="right" vertical="center" wrapText="1"/>
      <protection locked="0"/>
    </xf>
    <xf numFmtId="0" fontId="15" fillId="7" borderId="0" xfId="0" applyFont="1" applyFill="1" applyBorder="1" applyAlignment="1" applyProtection="1">
      <alignment horizontal="center" vertical="center"/>
      <protection locked="0"/>
    </xf>
    <xf numFmtId="0" fontId="15" fillId="7" borderId="1" xfId="0" applyFont="1" applyFill="1" applyBorder="1" applyAlignment="1" applyProtection="1">
      <alignment horizontal="center" vertical="center"/>
      <protection locked="0"/>
    </xf>
    <xf numFmtId="0" fontId="15" fillId="7" borderId="2" xfId="0" applyFont="1" applyFill="1" applyBorder="1" applyAlignment="1" applyProtection="1">
      <alignment horizontal="center" vertical="center"/>
      <protection locked="0"/>
    </xf>
    <xf numFmtId="0" fontId="15" fillId="7" borderId="3" xfId="0" applyFont="1" applyFill="1" applyBorder="1" applyAlignment="1" applyProtection="1">
      <alignment horizontal="center" vertical="center"/>
      <protection locked="0"/>
    </xf>
    <xf numFmtId="0" fontId="4" fillId="7" borderId="0" xfId="0" applyFont="1" applyFill="1" applyBorder="1" applyAlignment="1" applyProtection="1">
      <alignment horizontal="center" vertical="top" wrapText="1"/>
      <protection locked="0"/>
    </xf>
    <xf numFmtId="165" fontId="2" fillId="8" borderId="0" xfId="1" applyFont="1" applyFill="1" applyBorder="1" applyAlignment="1">
      <alignment horizontal="right" vertical="center" wrapText="1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3" xfId="0" applyFont="1" applyBorder="1" applyAlignment="1" applyProtection="1">
      <alignment horizontal="center" vertical="center" wrapText="1"/>
      <protection locked="0"/>
    </xf>
    <xf numFmtId="165" fontId="2" fillId="0" borderId="4" xfId="1" applyFont="1" applyBorder="1" applyAlignment="1" applyProtection="1">
      <alignment horizontal="right" vertical="center"/>
      <protection locked="0"/>
    </xf>
    <xf numFmtId="165" fontId="2" fillId="0" borderId="0" xfId="1" applyFont="1" applyBorder="1" applyAlignment="1" applyProtection="1">
      <alignment horizontal="right" vertical="center"/>
      <protection locked="0"/>
    </xf>
    <xf numFmtId="165" fontId="2" fillId="0" borderId="2" xfId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center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mruColors>
      <color rgb="FF0082BB"/>
      <color rgb="FFD9F5FB"/>
      <color rgb="FF79D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57150</xdr:rowOff>
        </xdr:from>
        <xdr:to>
          <xdr:col>8</xdr:col>
          <xdr:colOff>180975</xdr:colOff>
          <xdr:row>19</xdr:row>
          <xdr:rowOff>161925</xdr:rowOff>
        </xdr:to>
        <xdr:sp macro="" textlink="">
          <xdr:nvSpPr>
            <xdr:cNvPr id="1029" name="Combo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17</xdr:row>
          <xdr:rowOff>57150</xdr:rowOff>
        </xdr:from>
        <xdr:to>
          <xdr:col>17</xdr:col>
          <xdr:colOff>180975</xdr:colOff>
          <xdr:row>19</xdr:row>
          <xdr:rowOff>161925</xdr:rowOff>
        </xdr:to>
        <xdr:sp macro="" textlink="">
          <xdr:nvSpPr>
            <xdr:cNvPr id="1032" name="ComboBox2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295275</xdr:colOff>
          <xdr:row>34</xdr:row>
          <xdr:rowOff>180975</xdr:rowOff>
        </xdr:from>
        <xdr:to>
          <xdr:col>17</xdr:col>
          <xdr:colOff>533400</xdr:colOff>
          <xdr:row>37</xdr:row>
          <xdr:rowOff>171450</xdr:rowOff>
        </xdr:to>
        <xdr:sp macro="" textlink="">
          <xdr:nvSpPr>
            <xdr:cNvPr id="1033" name="CommandButton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6</xdr:row>
          <xdr:rowOff>28575</xdr:rowOff>
        </xdr:from>
        <xdr:to>
          <xdr:col>13</xdr:col>
          <xdr:colOff>95250</xdr:colOff>
          <xdr:row>7</xdr:row>
          <xdr:rowOff>161925</xdr:rowOff>
        </xdr:to>
        <xdr:sp macro="" textlink="">
          <xdr:nvSpPr>
            <xdr:cNvPr id="1035" name="ComboBox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20</xdr:row>
          <xdr:rowOff>47625</xdr:rowOff>
        </xdr:from>
        <xdr:to>
          <xdr:col>4</xdr:col>
          <xdr:colOff>876300</xdr:colOff>
          <xdr:row>22</xdr:row>
          <xdr:rowOff>161925</xdr:rowOff>
        </xdr:to>
        <xdr:sp macro="" textlink="">
          <xdr:nvSpPr>
            <xdr:cNvPr id="1037" name="ComboBox4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23</xdr:row>
          <xdr:rowOff>57150</xdr:rowOff>
        </xdr:from>
        <xdr:to>
          <xdr:col>4</xdr:col>
          <xdr:colOff>866775</xdr:colOff>
          <xdr:row>25</xdr:row>
          <xdr:rowOff>180975</xdr:rowOff>
        </xdr:to>
        <xdr:sp macro="" textlink="">
          <xdr:nvSpPr>
            <xdr:cNvPr id="1038" name="ComboBox5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38100</xdr:rowOff>
        </xdr:from>
        <xdr:to>
          <xdr:col>14</xdr:col>
          <xdr:colOff>9525</xdr:colOff>
          <xdr:row>22</xdr:row>
          <xdr:rowOff>171450</xdr:rowOff>
        </xdr:to>
        <xdr:sp macro="" textlink="">
          <xdr:nvSpPr>
            <xdr:cNvPr id="1039" name="ComboBox6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38100</xdr:rowOff>
        </xdr:from>
        <xdr:to>
          <xdr:col>14</xdr:col>
          <xdr:colOff>9525</xdr:colOff>
          <xdr:row>25</xdr:row>
          <xdr:rowOff>180975</xdr:rowOff>
        </xdr:to>
        <xdr:sp macro="" textlink="">
          <xdr:nvSpPr>
            <xdr:cNvPr id="1040" name="ComboBox7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619125</xdr:colOff>
      <xdr:row>0</xdr:row>
      <xdr:rowOff>23812</xdr:rowOff>
    </xdr:from>
    <xdr:to>
      <xdr:col>10</xdr:col>
      <xdr:colOff>892969</xdr:colOff>
      <xdr:row>3</xdr:row>
      <xdr:rowOff>178594</xdr:rowOff>
    </xdr:to>
    <xdr:sp macro="" textlink="">
      <xdr:nvSpPr>
        <xdr:cNvPr id="2" name="Прямоугольная выноска 1"/>
        <xdr:cNvSpPr/>
      </xdr:nvSpPr>
      <xdr:spPr>
        <a:xfrm>
          <a:off x="7143750" y="23812"/>
          <a:ext cx="1404938" cy="726282"/>
        </a:xfrm>
        <a:prstGeom prst="wedgeRectCallout">
          <a:avLst>
            <a:gd name="adj1" fmla="val 146964"/>
            <a:gd name="adj2" fmla="val 14959"/>
          </a:avLst>
        </a:prstGeom>
        <a:solidFill>
          <a:schemeClr val="accent1">
            <a:lumMod val="40000"/>
            <a:lumOff val="60000"/>
            <a:alpha val="45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chemeClr val="tx1">
                  <a:lumMod val="75000"/>
                  <a:lumOff val="25000"/>
                </a:schemeClr>
              </a:solidFill>
            </a:rPr>
            <a:t>расчет</a:t>
          </a:r>
          <a:r>
            <a:rPr lang="ru-RU" sz="1100" b="1" baseline="0">
              <a:solidFill>
                <a:schemeClr val="tx1">
                  <a:lumMod val="75000"/>
                  <a:lumOff val="25000"/>
                </a:schemeClr>
              </a:solidFill>
            </a:rPr>
            <a:t> ставки без учета аванса</a:t>
          </a:r>
          <a:endParaRPr lang="ru-RU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666749</xdr:colOff>
      <xdr:row>0</xdr:row>
      <xdr:rowOff>0</xdr:rowOff>
    </xdr:from>
    <xdr:to>
      <xdr:col>9</xdr:col>
      <xdr:colOff>1095375</xdr:colOff>
      <xdr:row>3</xdr:row>
      <xdr:rowOff>154782</xdr:rowOff>
    </xdr:to>
    <xdr:sp macro="" textlink="">
      <xdr:nvSpPr>
        <xdr:cNvPr id="2" name="Прямоугольная выноска 1"/>
        <xdr:cNvSpPr/>
      </xdr:nvSpPr>
      <xdr:spPr>
        <a:xfrm>
          <a:off x="6465093" y="0"/>
          <a:ext cx="1404938" cy="726282"/>
        </a:xfrm>
        <a:prstGeom prst="wedgeRectCallout">
          <a:avLst>
            <a:gd name="adj1" fmla="val 146964"/>
            <a:gd name="adj2" fmla="val 14959"/>
          </a:avLst>
        </a:prstGeom>
        <a:solidFill>
          <a:schemeClr val="accent1">
            <a:lumMod val="40000"/>
            <a:lumOff val="60000"/>
            <a:alpha val="45000"/>
          </a:schemeClr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 b="1">
              <a:solidFill>
                <a:schemeClr val="tx1">
                  <a:lumMod val="75000"/>
                  <a:lumOff val="25000"/>
                </a:schemeClr>
              </a:solidFill>
            </a:rPr>
            <a:t>расчет</a:t>
          </a:r>
          <a:r>
            <a:rPr lang="ru-RU" sz="1100" b="1" baseline="0">
              <a:solidFill>
                <a:schemeClr val="tx1">
                  <a:lumMod val="75000"/>
                  <a:lumOff val="25000"/>
                </a:schemeClr>
              </a:solidFill>
            </a:rPr>
            <a:t> ставки без учета аванса</a:t>
          </a:r>
          <a:endParaRPr lang="ru-RU" sz="1100" b="1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P266"/>
  <sheetViews>
    <sheetView tabSelected="1" zoomScale="70" zoomScaleNormal="70" zoomScalePageLayoutView="46" workbookViewId="0">
      <selection activeCell="U12" sqref="U12"/>
    </sheetView>
  </sheetViews>
  <sheetFormatPr defaultRowHeight="15" x14ac:dyDescent="0.25"/>
  <cols>
    <col min="1" max="1" width="2.42578125" style="32" customWidth="1"/>
    <col min="2" max="2" width="11.5703125" customWidth="1"/>
    <col min="5" max="5" width="13.28515625" customWidth="1"/>
    <col min="10" max="10" width="9.140625" customWidth="1"/>
    <col min="11" max="11" width="9.7109375" customWidth="1"/>
    <col min="12" max="12" width="10.5703125" customWidth="1"/>
    <col min="14" max="14" width="11.7109375" customWidth="1"/>
    <col min="20" max="20" width="4.85546875" customWidth="1"/>
    <col min="23" max="23" width="0" hidden="1" customWidth="1"/>
    <col min="24" max="24" width="10.28515625" customWidth="1"/>
    <col min="25" max="25" width="12.85546875" customWidth="1"/>
    <col min="26" max="27" width="7.28515625" customWidth="1"/>
    <col min="28" max="28" width="9.42578125" hidden="1" customWidth="1"/>
    <col min="29" max="29" width="15.85546875" hidden="1" customWidth="1"/>
    <col min="30" max="32" width="9.140625" hidden="1" customWidth="1"/>
    <col min="33" max="33" width="9.42578125" hidden="1" customWidth="1"/>
    <col min="34" max="34" width="15.85546875" hidden="1" customWidth="1"/>
    <col min="35" max="35" width="9.140625" hidden="1" customWidth="1"/>
    <col min="36" max="39" width="9.140625" style="79" customWidth="1"/>
    <col min="40" max="94" width="8.85546875" style="79"/>
  </cols>
  <sheetData>
    <row r="1" spans="1:35" ht="14.2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</row>
    <row r="2" spans="1:35" ht="15.75" x14ac:dyDescent="0.25">
      <c r="A2" s="33"/>
      <c r="B2" s="33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3"/>
      <c r="V2" s="33"/>
      <c r="W2" s="33"/>
      <c r="X2" s="85" t="s">
        <v>127</v>
      </c>
      <c r="Y2" s="85"/>
      <c r="Z2" s="85"/>
      <c r="AA2" s="33"/>
      <c r="AB2" s="85" t="s">
        <v>94</v>
      </c>
      <c r="AC2" s="85"/>
      <c r="AD2" s="85"/>
      <c r="AE2" s="33"/>
      <c r="AF2" s="33"/>
      <c r="AG2" s="85" t="s">
        <v>95</v>
      </c>
      <c r="AH2" s="85"/>
      <c r="AI2" s="85"/>
    </row>
    <row r="3" spans="1:35" ht="16.5" thickBot="1" x14ac:dyDescent="0.3">
      <c r="A3" s="33"/>
      <c r="B3" s="33"/>
      <c r="C3" s="38"/>
      <c r="D3" s="38"/>
      <c r="E3" s="38"/>
      <c r="F3" s="38"/>
      <c r="G3" s="38"/>
      <c r="H3" s="33"/>
      <c r="I3" s="33"/>
      <c r="J3" s="33"/>
      <c r="K3" s="33"/>
      <c r="L3" s="33"/>
      <c r="M3" s="33"/>
      <c r="N3" s="38"/>
      <c r="O3" s="38"/>
      <c r="P3" s="38"/>
      <c r="Q3" s="38"/>
      <c r="R3" s="38"/>
      <c r="S3" s="38"/>
      <c r="T3" s="38"/>
      <c r="U3" s="33"/>
      <c r="V3" s="33"/>
      <c r="W3" s="33"/>
      <c r="X3" s="85"/>
      <c r="Y3" s="85"/>
      <c r="Z3" s="85"/>
      <c r="AA3" s="33"/>
      <c r="AB3" s="85"/>
      <c r="AC3" s="85"/>
      <c r="AD3" s="85"/>
      <c r="AE3" s="33"/>
      <c r="AF3" s="33"/>
      <c r="AG3" s="85"/>
      <c r="AH3" s="85"/>
      <c r="AI3" s="85"/>
    </row>
    <row r="4" spans="1:35" ht="15.75" x14ac:dyDescent="0.25">
      <c r="A4" s="33"/>
      <c r="B4" s="67"/>
      <c r="C4" s="68"/>
      <c r="D4" s="68"/>
      <c r="E4" s="68"/>
      <c r="F4" s="68"/>
      <c r="G4" s="68"/>
      <c r="H4" s="69"/>
      <c r="I4" s="69"/>
      <c r="J4" s="69"/>
      <c r="K4" s="69"/>
      <c r="L4" s="69"/>
      <c r="M4" s="69"/>
      <c r="N4" s="68"/>
      <c r="O4" s="68"/>
      <c r="P4" s="68"/>
      <c r="Q4" s="68"/>
      <c r="R4" s="70"/>
      <c r="S4" s="38"/>
      <c r="T4" s="38"/>
      <c r="U4" s="33"/>
      <c r="V4" s="33"/>
      <c r="W4" s="33"/>
      <c r="X4" s="85" t="s">
        <v>144</v>
      </c>
      <c r="Y4" s="85"/>
      <c r="Z4" s="85"/>
      <c r="AA4" s="33"/>
      <c r="AB4" s="61"/>
      <c r="AC4" s="61"/>
      <c r="AD4" s="61"/>
      <c r="AE4" s="33"/>
      <c r="AF4" s="33"/>
      <c r="AG4" s="61"/>
      <c r="AH4" s="61"/>
      <c r="AI4" s="61"/>
    </row>
    <row r="5" spans="1:35" ht="15.75" customHeight="1" x14ac:dyDescent="0.25">
      <c r="B5" s="71"/>
      <c r="C5" s="72"/>
      <c r="D5" s="72"/>
      <c r="E5" s="94" t="s">
        <v>83</v>
      </c>
      <c r="F5" s="94"/>
      <c r="G5" s="94"/>
      <c r="H5" s="115" t="s">
        <v>57</v>
      </c>
      <c r="I5" s="115"/>
      <c r="J5" s="116"/>
      <c r="K5" s="132">
        <v>4190000</v>
      </c>
      <c r="L5" s="132"/>
      <c r="M5" s="132"/>
      <c r="N5" s="72"/>
      <c r="O5" s="72"/>
      <c r="P5" s="72"/>
      <c r="Q5" s="72"/>
      <c r="R5" s="73"/>
      <c r="S5" s="38"/>
      <c r="T5" s="38"/>
      <c r="U5" s="33"/>
      <c r="V5" s="33"/>
      <c r="W5" s="33"/>
      <c r="X5" s="53">
        <v>1</v>
      </c>
      <c r="Y5" s="50">
        <v>50000</v>
      </c>
      <c r="Z5" s="38"/>
      <c r="AA5" s="38"/>
      <c r="AB5" s="53">
        <v>1</v>
      </c>
      <c r="AC5" s="50">
        <f>IF(AB5&lt;=$F$16,IF($F$18=Лист2!$A$2,'Аннуитетное (с ндс)'!N11,IF('Калькулятор лизинга'!$F$18=Лист2!$A$3,Равномерное!N10,'Калькулятор лизинга'!Y5)),"")</f>
        <v>50000</v>
      </c>
      <c r="AD5" s="38"/>
      <c r="AE5" s="38"/>
      <c r="AF5" s="38"/>
      <c r="AG5" s="53">
        <v>1</v>
      </c>
      <c r="AH5" s="50">
        <f>IF(AG5&lt;=$O$16,IF($O$18=Лист2!$A$2,'Кредит аннуитет'!M10,'Кредит равномерное'!M10),"")</f>
        <v>116999.41666666667</v>
      </c>
      <c r="AI5" s="38"/>
    </row>
    <row r="6" spans="1:35" ht="16.5" thickBot="1" x14ac:dyDescent="0.3">
      <c r="B6" s="71"/>
      <c r="C6" s="72"/>
      <c r="D6" s="72"/>
      <c r="E6" s="94"/>
      <c r="F6" s="94"/>
      <c r="G6" s="94"/>
      <c r="H6" s="117"/>
      <c r="I6" s="117"/>
      <c r="J6" s="118"/>
      <c r="K6" s="133"/>
      <c r="L6" s="133"/>
      <c r="M6" s="133"/>
      <c r="N6" s="72"/>
      <c r="O6" s="72"/>
      <c r="P6" s="72"/>
      <c r="Q6" s="72"/>
      <c r="R6" s="73"/>
      <c r="S6" s="38"/>
      <c r="T6" s="38"/>
      <c r="U6" s="33"/>
      <c r="V6" s="33"/>
      <c r="W6" s="33"/>
      <c r="X6" s="53">
        <f>IF(X5&lt;$F$16,X5+1,"")</f>
        <v>2</v>
      </c>
      <c r="Y6" s="50">
        <v>50000</v>
      </c>
      <c r="Z6" s="38"/>
      <c r="AA6" s="38"/>
      <c r="AB6" s="53">
        <f>IF(AB5&lt;$F$16,AB5+1,"")</f>
        <v>2</v>
      </c>
      <c r="AC6" s="50">
        <f>IF(AB6&lt;=$F$16,IF($F$18=Лист2!$A$2,'Аннуитетное (с ндс)'!N12,IF('Калькулятор лизинга'!$F$18=Лист2!$A$3,Равномерное!N11,'Калькулятор лизинга'!Y6)),"")</f>
        <v>50000</v>
      </c>
      <c r="AD6" s="38"/>
      <c r="AE6" s="38"/>
      <c r="AF6" s="38"/>
      <c r="AG6" s="53">
        <f>IF(AG5&lt;$O$16,AG5+1,"")</f>
        <v>2</v>
      </c>
      <c r="AH6" s="50">
        <f>IF(AG6&lt;=$O$16,IF($O$18=Лист2!$A$2,'Кредит аннуитет'!M11,'Кредит равномерное'!M11),"")</f>
        <v>116998.69902618931</v>
      </c>
      <c r="AI6" s="38"/>
    </row>
    <row r="7" spans="1:35" ht="15" customHeight="1" thickTop="1" x14ac:dyDescent="0.25">
      <c r="B7" s="71"/>
      <c r="C7" s="72"/>
      <c r="D7" s="72"/>
      <c r="E7" s="72"/>
      <c r="F7" s="72"/>
      <c r="G7" s="72"/>
      <c r="H7" s="125" t="s">
        <v>55</v>
      </c>
      <c r="I7" s="125"/>
      <c r="J7" s="126"/>
      <c r="K7" s="134" t="s">
        <v>97</v>
      </c>
      <c r="L7" s="134"/>
      <c r="M7" s="134"/>
      <c r="N7" s="72"/>
      <c r="O7" s="72"/>
      <c r="P7" s="72"/>
      <c r="Q7" s="72"/>
      <c r="R7" s="73"/>
      <c r="S7" s="38"/>
      <c r="T7" s="38"/>
      <c r="U7" s="33"/>
      <c r="V7" s="33"/>
      <c r="W7" s="33"/>
      <c r="X7" s="53">
        <f t="shared" ref="X7:X70" si="0">IF(X6&lt;$F$16,X6+1,"")</f>
        <v>3</v>
      </c>
      <c r="Y7" s="50">
        <v>50000</v>
      </c>
      <c r="Z7" s="38"/>
      <c r="AA7" s="38"/>
      <c r="AB7" s="53">
        <f t="shared" ref="AB7:AB70" si="1">IF(AB6&lt;$F$16,AB6+1,"")</f>
        <v>3</v>
      </c>
      <c r="AC7" s="50">
        <f>IF(AB7&lt;=$F$16,IF($F$18=Лист2!$A$2,'Аннуитетное (с ндс)'!N13,IF('Калькулятор лизинга'!$F$18=Лист2!$A$3,Равномерное!N12,'Калькулятор лизинга'!Y7)),"")</f>
        <v>50000</v>
      </c>
      <c r="AD7" s="38"/>
      <c r="AE7" s="38"/>
      <c r="AF7" s="38"/>
      <c r="AG7" s="53">
        <f t="shared" ref="AG7:AG70" si="2">IF(AG6&lt;$O$16,AG6+1,"")</f>
        <v>3</v>
      </c>
      <c r="AH7" s="50">
        <f>IF(AG7&lt;=$O$16,IF($O$18=Лист2!$A$2,'Кредит аннуитет'!M12,'Кредит равномерное'!M12),"")</f>
        <v>116997.95492542566</v>
      </c>
      <c r="AI7" s="38"/>
    </row>
    <row r="8" spans="1:35" ht="16.5" thickBot="1" x14ac:dyDescent="0.3">
      <c r="B8" s="71"/>
      <c r="C8" s="72"/>
      <c r="D8" s="72"/>
      <c r="E8" s="72"/>
      <c r="F8" s="72"/>
      <c r="G8" s="72"/>
      <c r="H8" s="117"/>
      <c r="I8" s="117"/>
      <c r="J8" s="118"/>
      <c r="K8" s="135"/>
      <c r="L8" s="135"/>
      <c r="M8" s="135"/>
      <c r="N8" s="72"/>
      <c r="O8" s="72"/>
      <c r="P8" s="72"/>
      <c r="Q8" s="72"/>
      <c r="R8" s="73"/>
      <c r="S8" s="38"/>
      <c r="T8" s="38"/>
      <c r="U8" s="33"/>
      <c r="V8" s="33"/>
      <c r="W8" s="33"/>
      <c r="X8" s="53">
        <f t="shared" si="0"/>
        <v>4</v>
      </c>
      <c r="Y8" s="50">
        <v>50000</v>
      </c>
      <c r="Z8" s="38"/>
      <c r="AA8" s="38"/>
      <c r="AB8" s="53">
        <f t="shared" si="1"/>
        <v>4</v>
      </c>
      <c r="AC8" s="50">
        <f>IF(AB8&lt;=$F$16,IF($F$18=Лист2!$A$2,'Аннуитетное (с ндс)'!N14,IF('Калькулятор лизинга'!$F$18=Лист2!$A$3,Равномерное!N13,'Калькулятор лизинга'!Y8)),"")</f>
        <v>50000</v>
      </c>
      <c r="AD8" s="38"/>
      <c r="AE8" s="38"/>
      <c r="AF8" s="38"/>
      <c r="AG8" s="53">
        <f t="shared" si="2"/>
        <v>4</v>
      </c>
      <c r="AH8" s="50">
        <f>IF(AG8&lt;=$O$16,IF($O$18=Лист2!$A$2,'Кредит аннуитет'!M13,'Кредит равномерное'!M13),"")</f>
        <v>116997.18338875246</v>
      </c>
      <c r="AI8" s="38"/>
    </row>
    <row r="9" spans="1:35" ht="16.5" thickTop="1" x14ac:dyDescent="0.25">
      <c r="B9" s="71"/>
      <c r="C9" s="72"/>
      <c r="D9" s="72"/>
      <c r="E9" s="94" t="s">
        <v>114</v>
      </c>
      <c r="F9" s="94"/>
      <c r="G9" s="94"/>
      <c r="H9" s="109" t="s">
        <v>60</v>
      </c>
      <c r="I9" s="109"/>
      <c r="J9" s="110"/>
      <c r="K9" s="120">
        <f>VLOOKUP(K7,Лист2!C2:D10,2,)</f>
        <v>20</v>
      </c>
      <c r="L9" s="113"/>
      <c r="M9" s="113"/>
      <c r="N9" s="72"/>
      <c r="O9" s="72"/>
      <c r="P9" s="72"/>
      <c r="Q9" s="72"/>
      <c r="R9" s="73"/>
      <c r="S9" s="38"/>
      <c r="T9" s="38"/>
      <c r="U9" s="33"/>
      <c r="V9" s="33"/>
      <c r="W9" s="33"/>
      <c r="X9" s="53">
        <f t="shared" si="0"/>
        <v>5</v>
      </c>
      <c r="Y9" s="50">
        <v>50000</v>
      </c>
      <c r="Z9" s="38"/>
      <c r="AA9" s="38"/>
      <c r="AB9" s="53">
        <f t="shared" si="1"/>
        <v>5</v>
      </c>
      <c r="AC9" s="50">
        <f>IF(AB9&lt;=$F$16,IF($F$18=Лист2!$A$2,'Аннуитетное (с ндс)'!N15,IF('Калькулятор лизинга'!$F$18=Лист2!$A$3,Равномерное!N14,'Калькулятор лизинга'!Y9)),"")</f>
        <v>50000</v>
      </c>
      <c r="AD9" s="38"/>
      <c r="AE9" s="38"/>
      <c r="AF9" s="38"/>
      <c r="AG9" s="53">
        <f t="shared" si="2"/>
        <v>5</v>
      </c>
      <c r="AH9" s="50">
        <f>IF(AG9&lt;=$O$16,IF($O$18=Лист2!$A$2,'Кредит аннуитет'!M14,'Кредит равномерное'!M14),"")</f>
        <v>116996.38340457399</v>
      </c>
      <c r="AI9" s="38"/>
    </row>
    <row r="10" spans="1:35" ht="15" customHeight="1" thickBot="1" x14ac:dyDescent="0.3">
      <c r="B10" s="71"/>
      <c r="C10" s="72"/>
      <c r="D10" s="72"/>
      <c r="E10" s="94"/>
      <c r="F10" s="94"/>
      <c r="G10" s="94"/>
      <c r="H10" s="123"/>
      <c r="I10" s="123"/>
      <c r="J10" s="124"/>
      <c r="K10" s="121"/>
      <c r="L10" s="122"/>
      <c r="M10" s="122"/>
      <c r="N10" s="72"/>
      <c r="O10" s="72"/>
      <c r="P10" s="72"/>
      <c r="Q10" s="72"/>
      <c r="R10" s="73"/>
      <c r="S10" s="38"/>
      <c r="T10" s="38"/>
      <c r="U10" s="33"/>
      <c r="V10" s="33"/>
      <c r="W10" s="33"/>
      <c r="X10" s="53">
        <f t="shared" si="0"/>
        <v>6</v>
      </c>
      <c r="Y10" s="50">
        <v>50000</v>
      </c>
      <c r="Z10" s="38"/>
      <c r="AA10" s="38"/>
      <c r="AB10" s="53">
        <f t="shared" si="1"/>
        <v>6</v>
      </c>
      <c r="AC10" s="50">
        <f>IF(AB10&lt;=$F$16,IF($F$18=Лист2!$A$2,'Аннуитетное (с ндс)'!N16,IF('Калькулятор лизинга'!$F$18=Лист2!$A$3,Равномерное!N15,'Калькулятор лизинга'!Y10)),"")</f>
        <v>50000</v>
      </c>
      <c r="AD10" s="38"/>
      <c r="AE10" s="38"/>
      <c r="AF10" s="38"/>
      <c r="AG10" s="53">
        <f t="shared" si="2"/>
        <v>6</v>
      </c>
      <c r="AH10" s="50">
        <f>IF(AG10&lt;=$O$16,IF($O$18=Лист2!$A$2,'Кредит аннуитет'!M15,'Кредит равномерное'!M15),"")</f>
        <v>116995.5539239958</v>
      </c>
      <c r="AI10" s="38"/>
    </row>
    <row r="11" spans="1:35" ht="16.5" thickTop="1" x14ac:dyDescent="0.25">
      <c r="B11" s="71"/>
      <c r="C11" s="72"/>
      <c r="D11" s="72"/>
      <c r="E11" s="72"/>
      <c r="F11" s="72"/>
      <c r="G11" s="72"/>
      <c r="H11" s="109" t="s">
        <v>59</v>
      </c>
      <c r="I11" s="109"/>
      <c r="J11" s="110"/>
      <c r="K11" s="113">
        <v>20</v>
      </c>
      <c r="L11" s="113"/>
      <c r="M11" s="113"/>
      <c r="N11" s="72"/>
      <c r="O11" s="72"/>
      <c r="P11" s="72"/>
      <c r="Q11" s="72"/>
      <c r="R11" s="73"/>
      <c r="S11" s="38"/>
      <c r="T11" s="38"/>
      <c r="U11" s="33"/>
      <c r="V11" s="33"/>
      <c r="W11" s="33"/>
      <c r="X11" s="53">
        <f t="shared" si="0"/>
        <v>7</v>
      </c>
      <c r="Y11" s="50">
        <v>60000</v>
      </c>
      <c r="Z11" s="38"/>
      <c r="AA11" s="38"/>
      <c r="AB11" s="53">
        <f t="shared" si="1"/>
        <v>7</v>
      </c>
      <c r="AC11" s="50">
        <f>IF(AB11&lt;=$F$16,IF($F$18=Лист2!$A$2,'Аннуитетное (с ндс)'!N17,IF('Калькулятор лизинга'!$F$18=Лист2!$A$3,Равномерное!N16,'Калькулятор лизинга'!Y11)),"")</f>
        <v>60000</v>
      </c>
      <c r="AD11" s="38"/>
      <c r="AE11" s="38"/>
      <c r="AF11" s="38"/>
      <c r="AG11" s="53">
        <f t="shared" si="2"/>
        <v>7</v>
      </c>
      <c r="AH11" s="50">
        <f>IF(AG11&lt;=$O$16,IF($O$18=Лист2!$A$2,'Кредит аннуитет'!M16,'Кредит равномерное'!M16),"")</f>
        <v>116994.69385944937</v>
      </c>
      <c r="AI11" s="38"/>
    </row>
    <row r="12" spans="1:35" ht="15.75" x14ac:dyDescent="0.25">
      <c r="B12" s="71"/>
      <c r="C12" s="72"/>
      <c r="D12" s="72"/>
      <c r="E12" s="72"/>
      <c r="F12" s="72"/>
      <c r="G12" s="72"/>
      <c r="H12" s="111"/>
      <c r="I12" s="111"/>
      <c r="J12" s="112"/>
      <c r="K12" s="114"/>
      <c r="L12" s="114"/>
      <c r="M12" s="114"/>
      <c r="N12" s="72"/>
      <c r="O12" s="72"/>
      <c r="P12" s="72"/>
      <c r="Q12" s="72"/>
      <c r="R12" s="73"/>
      <c r="S12" s="38"/>
      <c r="T12" s="38"/>
      <c r="U12" s="33"/>
      <c r="V12" s="33"/>
      <c r="W12" s="33"/>
      <c r="X12" s="53">
        <f t="shared" si="0"/>
        <v>8</v>
      </c>
      <c r="Y12" s="50">
        <v>60000</v>
      </c>
      <c r="Z12" s="38"/>
      <c r="AA12" s="38"/>
      <c r="AB12" s="53">
        <f t="shared" si="1"/>
        <v>8</v>
      </c>
      <c r="AC12" s="50">
        <f>IF(AB12&lt;=$F$16,IF($F$18=Лист2!$A$2,'Аннуитетное (с ндс)'!N18,IF('Калькулятор лизинга'!$F$18=Лист2!$A$3,Равномерное!N17,'Калькулятор лизинга'!Y12)),"")</f>
        <v>60000</v>
      </c>
      <c r="AD12" s="38"/>
      <c r="AE12" s="38"/>
      <c r="AF12" s="38"/>
      <c r="AG12" s="53">
        <f t="shared" si="2"/>
        <v>8</v>
      </c>
      <c r="AH12" s="50">
        <f>IF(AG12&lt;=$O$16,IF($O$18=Лист2!$A$2,'Кредит аннуитет'!M17,'Кредит равномерное'!M17),"")</f>
        <v>116993.8020832662</v>
      </c>
      <c r="AI12" s="38"/>
    </row>
    <row r="13" spans="1:35" ht="15.75" x14ac:dyDescent="0.25"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3"/>
      <c r="S13" s="38"/>
      <c r="T13" s="38"/>
      <c r="U13" s="33"/>
      <c r="V13" s="33"/>
      <c r="W13" s="33"/>
      <c r="X13" s="53">
        <f t="shared" si="0"/>
        <v>9</v>
      </c>
      <c r="Y13" s="50">
        <v>60000</v>
      </c>
      <c r="Z13" s="38"/>
      <c r="AA13" s="38"/>
      <c r="AB13" s="53">
        <f t="shared" si="1"/>
        <v>9</v>
      </c>
      <c r="AC13" s="50">
        <f>IF(AB13&lt;=$F$16,IF($F$18=Лист2!$A$2,'Аннуитетное (с ндс)'!N19,IF('Калькулятор лизинга'!$F$18=Лист2!$A$3,Равномерное!N18,'Калькулятор лизинга'!Y13)),"")</f>
        <v>60000</v>
      </c>
      <c r="AD13" s="38"/>
      <c r="AE13" s="38"/>
      <c r="AF13" s="38"/>
      <c r="AG13" s="53">
        <f t="shared" si="2"/>
        <v>9</v>
      </c>
      <c r="AH13" s="50">
        <f>IF(AG13&lt;=$O$16,IF($O$18=Лист2!$A$2,'Кредит аннуитет'!M18,'Кредит равномерное'!M18),"")</f>
        <v>116992.87742619928</v>
      </c>
      <c r="AI13" s="38"/>
    </row>
    <row r="14" spans="1:35" ht="15.75" x14ac:dyDescent="0.25">
      <c r="B14" s="71"/>
      <c r="C14" s="72"/>
      <c r="D14" s="119" t="s">
        <v>79</v>
      </c>
      <c r="E14" s="119"/>
      <c r="F14" s="119"/>
      <c r="G14" s="119"/>
      <c r="H14" s="119"/>
      <c r="I14" s="72"/>
      <c r="J14" s="72"/>
      <c r="K14" s="72"/>
      <c r="L14" s="72"/>
      <c r="M14" s="119" t="s">
        <v>80</v>
      </c>
      <c r="N14" s="119"/>
      <c r="O14" s="119"/>
      <c r="P14" s="119"/>
      <c r="Q14" s="119"/>
      <c r="R14" s="73"/>
      <c r="S14" s="38"/>
      <c r="T14" s="38"/>
      <c r="U14" s="33"/>
      <c r="V14" s="33"/>
      <c r="W14" s="33"/>
      <c r="X14" s="53">
        <f t="shared" si="0"/>
        <v>10</v>
      </c>
      <c r="Y14" s="50">
        <v>60000</v>
      </c>
      <c r="Z14" s="38"/>
      <c r="AA14" s="38"/>
      <c r="AB14" s="53">
        <f t="shared" si="1"/>
        <v>10</v>
      </c>
      <c r="AC14" s="50">
        <f>IF(AB14&lt;=$F$16,IF($F$18=Лист2!$A$2,'Аннуитетное (с ндс)'!N20,IF('Калькулятор лизинга'!$F$18=Лист2!$A$3,Равномерное!N19,'Калькулятор лизинга'!Y14)),"")</f>
        <v>60000</v>
      </c>
      <c r="AD14" s="38"/>
      <c r="AE14" s="38"/>
      <c r="AF14" s="38"/>
      <c r="AG14" s="53">
        <f t="shared" si="2"/>
        <v>10</v>
      </c>
      <c r="AH14" s="50">
        <f>IF(AG14&lt;=$O$16,IF($O$18=Лист2!$A$2,'Кредит аннуитет'!M19,'Кредит равномерное'!M19),"")</f>
        <v>116991.91867589002</v>
      </c>
      <c r="AI14" s="38"/>
    </row>
    <row r="15" spans="1:35" ht="15.75" x14ac:dyDescent="0.25"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3"/>
      <c r="S15" s="38"/>
      <c r="T15" s="38"/>
      <c r="U15" s="33"/>
      <c r="V15" s="33"/>
      <c r="W15" s="33"/>
      <c r="X15" s="53">
        <f t="shared" si="0"/>
        <v>11</v>
      </c>
      <c r="Y15" s="50">
        <v>60000</v>
      </c>
      <c r="Z15" s="38"/>
      <c r="AA15" s="38"/>
      <c r="AB15" s="53">
        <f t="shared" si="1"/>
        <v>11</v>
      </c>
      <c r="AC15" s="50">
        <f>IF(AB15&lt;=$F$16,IF($F$18=Лист2!$A$2,'Аннуитетное (с ндс)'!N21,IF('Калькулятор лизинга'!$F$18=Лист2!$A$3,Равномерное!N20,'Калькулятор лизинга'!Y15)),"")</f>
        <v>60000</v>
      </c>
      <c r="AD15" s="38"/>
      <c r="AE15" s="38"/>
      <c r="AF15" s="38"/>
      <c r="AG15" s="53">
        <f t="shared" si="2"/>
        <v>11</v>
      </c>
      <c r="AH15" s="50">
        <f>IF(AG15&lt;=$O$16,IF($O$18=Лист2!$A$2,'Кредит аннуитет'!M20,'Кредит равномерное'!M20),"")</f>
        <v>116990.92457527868</v>
      </c>
      <c r="AI15" s="38"/>
    </row>
    <row r="16" spans="1:35" ht="15.75" x14ac:dyDescent="0.25">
      <c r="B16" s="86"/>
      <c r="C16" s="87"/>
      <c r="D16" s="115" t="s">
        <v>122</v>
      </c>
      <c r="E16" s="116"/>
      <c r="F16" s="131">
        <v>72</v>
      </c>
      <c r="G16" s="114"/>
      <c r="H16" s="114"/>
      <c r="I16" s="72"/>
      <c r="J16" s="72"/>
      <c r="K16" s="72"/>
      <c r="L16" s="72"/>
      <c r="M16" s="115" t="s">
        <v>121</v>
      </c>
      <c r="N16" s="116"/>
      <c r="O16" s="114">
        <v>72</v>
      </c>
      <c r="P16" s="114"/>
      <c r="Q16" s="114"/>
      <c r="R16" s="73"/>
      <c r="S16" s="38"/>
      <c r="T16" s="38"/>
      <c r="U16" s="33"/>
      <c r="V16" s="33"/>
      <c r="W16" s="33"/>
      <c r="X16" s="53">
        <f t="shared" si="0"/>
        <v>12</v>
      </c>
      <c r="Y16" s="50">
        <v>50000</v>
      </c>
      <c r="Z16" s="38"/>
      <c r="AA16" s="38"/>
      <c r="AB16" s="53">
        <f t="shared" si="1"/>
        <v>12</v>
      </c>
      <c r="AC16" s="50">
        <f>IF(AB16&lt;=$F$16,IF($F$18=Лист2!$A$2,'Аннуитетное (с ндс)'!N22,IF('Калькулятор лизинга'!$F$18=Лист2!$A$3,Равномерное!N21,'Калькулятор лизинга'!Y16)),"")</f>
        <v>50000</v>
      </c>
      <c r="AD16" s="38"/>
      <c r="AE16" s="38"/>
      <c r="AF16" s="38"/>
      <c r="AG16" s="53">
        <f t="shared" si="2"/>
        <v>12</v>
      </c>
      <c r="AH16" s="50">
        <f>IF(AG16&lt;=$O$16,IF($O$18=Лист2!$A$2,'Кредит аннуитет'!M21,'Кредит равномерное'!M21),"")</f>
        <v>116989.89382095617</v>
      </c>
      <c r="AI16" s="38"/>
    </row>
    <row r="17" spans="2:35" ht="16.5" thickBot="1" x14ac:dyDescent="0.3">
      <c r="B17" s="86"/>
      <c r="C17" s="87"/>
      <c r="D17" s="117"/>
      <c r="E17" s="118"/>
      <c r="F17" s="121"/>
      <c r="G17" s="122"/>
      <c r="H17" s="122"/>
      <c r="I17" s="72"/>
      <c r="J17" s="72"/>
      <c r="K17" s="72"/>
      <c r="L17" s="72"/>
      <c r="M17" s="117"/>
      <c r="N17" s="118"/>
      <c r="O17" s="122"/>
      <c r="P17" s="122"/>
      <c r="Q17" s="122"/>
      <c r="R17" s="73"/>
      <c r="S17" s="38"/>
      <c r="T17" s="38"/>
      <c r="U17" s="33"/>
      <c r="V17" s="33"/>
      <c r="W17" s="33"/>
      <c r="X17" s="53">
        <f t="shared" si="0"/>
        <v>13</v>
      </c>
      <c r="Y17" s="50">
        <v>50000</v>
      </c>
      <c r="Z17" s="38"/>
      <c r="AA17" s="38"/>
      <c r="AB17" s="53">
        <f t="shared" si="1"/>
        <v>13</v>
      </c>
      <c r="AC17" s="50">
        <f>IF(AB17&lt;=$F$16,IF($F$18=Лист2!$A$2,'Аннуитетное (с ндс)'!N23,IF('Калькулятор лизинга'!$F$18=Лист2!$A$3,Равномерное!N22,'Калькулятор лизинга'!Y17)),"")</f>
        <v>50000</v>
      </c>
      <c r="AD17" s="38"/>
      <c r="AE17" s="38"/>
      <c r="AF17" s="38"/>
      <c r="AG17" s="53">
        <f t="shared" si="2"/>
        <v>13</v>
      </c>
      <c r="AH17" s="50">
        <f>IF(AG17&lt;=$O$16,IF($O$18=Лист2!$A$2,'Кредит аннуитет'!M22,'Кредит равномерное'!M22),"")</f>
        <v>116988.82506145515</v>
      </c>
      <c r="AI17" s="38"/>
    </row>
    <row r="18" spans="2:35" ht="16.5" thickTop="1" x14ac:dyDescent="0.25">
      <c r="B18" s="95" t="s">
        <v>148</v>
      </c>
      <c r="C18" s="94"/>
      <c r="D18" s="125" t="s">
        <v>76</v>
      </c>
      <c r="E18" s="126"/>
      <c r="F18" s="144" t="s">
        <v>75</v>
      </c>
      <c r="G18" s="145"/>
      <c r="H18" s="145"/>
      <c r="I18" s="72"/>
      <c r="J18" s="72"/>
      <c r="K18" s="94" t="s">
        <v>128</v>
      </c>
      <c r="L18" s="94"/>
      <c r="M18" s="125" t="s">
        <v>76</v>
      </c>
      <c r="N18" s="126"/>
      <c r="O18" s="120" t="s">
        <v>74</v>
      </c>
      <c r="P18" s="113"/>
      <c r="Q18" s="113"/>
      <c r="R18" s="73"/>
      <c r="S18" s="38"/>
      <c r="T18" s="38"/>
      <c r="U18" s="33"/>
      <c r="V18" s="33"/>
      <c r="W18" s="33"/>
      <c r="X18" s="53">
        <f t="shared" si="0"/>
        <v>14</v>
      </c>
      <c r="Y18" s="50">
        <v>50000</v>
      </c>
      <c r="Z18" s="38"/>
      <c r="AA18" s="38"/>
      <c r="AB18" s="53">
        <f t="shared" si="1"/>
        <v>14</v>
      </c>
      <c r="AC18" s="50">
        <f>IF(AB18&lt;=$F$16,IF($F$18=Лист2!$A$2,'Аннуитетное (с ндс)'!N24,IF('Калькулятор лизинга'!$F$18=Лист2!$A$3,Равномерное!N23,'Калькулятор лизинга'!Y18)),"")</f>
        <v>50000</v>
      </c>
      <c r="AD18" s="38"/>
      <c r="AE18" s="38"/>
      <c r="AF18" s="38"/>
      <c r="AG18" s="53">
        <f t="shared" si="2"/>
        <v>14</v>
      </c>
      <c r="AH18" s="50">
        <f>IF(AG18&lt;=$O$16,IF($O$18=Лист2!$A$2,'Кредит аннуитет'!M23,'Кредит равномерное'!M23),"")</f>
        <v>116987.71689547795</v>
      </c>
      <c r="AI18" s="38"/>
    </row>
    <row r="19" spans="2:35" ht="15.75" x14ac:dyDescent="0.25">
      <c r="B19" s="95"/>
      <c r="C19" s="94"/>
      <c r="D19" s="115"/>
      <c r="E19" s="116"/>
      <c r="F19" s="146"/>
      <c r="G19" s="147"/>
      <c r="H19" s="147"/>
      <c r="I19" s="72"/>
      <c r="J19" s="72"/>
      <c r="K19" s="94"/>
      <c r="L19" s="94"/>
      <c r="M19" s="115"/>
      <c r="N19" s="116"/>
      <c r="O19" s="131"/>
      <c r="P19" s="114"/>
      <c r="Q19" s="114"/>
      <c r="R19" s="73"/>
      <c r="S19" s="38"/>
      <c r="T19" s="38"/>
      <c r="U19" s="33"/>
      <c r="V19" s="33"/>
      <c r="W19" s="33"/>
      <c r="X19" s="53">
        <f t="shared" si="0"/>
        <v>15</v>
      </c>
      <c r="Y19" s="50">
        <v>50000</v>
      </c>
      <c r="Z19" s="38"/>
      <c r="AA19" s="38"/>
      <c r="AB19" s="53">
        <f t="shared" si="1"/>
        <v>15</v>
      </c>
      <c r="AC19" s="50">
        <f>IF(AB19&lt;=$F$16,IF($F$18=Лист2!$A$2,'Аннуитетное (с ндс)'!N25,IF('Калькулятор лизинга'!$F$18=Лист2!$A$3,Равномерное!N24,'Калькулятор лизинга'!Y19)),"")</f>
        <v>50000</v>
      </c>
      <c r="AD19" s="38"/>
      <c r="AE19" s="38"/>
      <c r="AF19" s="38"/>
      <c r="AG19" s="53">
        <f t="shared" si="2"/>
        <v>15</v>
      </c>
      <c r="AH19" s="50">
        <f>IF(AG19&lt;=$O$16,IF($O$18=Лист2!$A$2,'Кредит аннуитет'!M24,'Кредит равномерное'!M24),"")</f>
        <v>116986.56787005939</v>
      </c>
      <c r="AI19" s="38"/>
    </row>
    <row r="20" spans="2:35" ht="16.5" customHeight="1" thickBot="1" x14ac:dyDescent="0.3">
      <c r="B20" s="95"/>
      <c r="C20" s="94"/>
      <c r="D20" s="117"/>
      <c r="E20" s="118"/>
      <c r="F20" s="148"/>
      <c r="G20" s="149"/>
      <c r="H20" s="149"/>
      <c r="I20" s="72"/>
      <c r="J20" s="72"/>
      <c r="K20" s="94"/>
      <c r="L20" s="94"/>
      <c r="M20" s="117"/>
      <c r="N20" s="118"/>
      <c r="O20" s="121"/>
      <c r="P20" s="122"/>
      <c r="Q20" s="122"/>
      <c r="R20" s="73"/>
      <c r="S20" s="38"/>
      <c r="T20" s="38"/>
      <c r="U20" s="33"/>
      <c r="V20" s="33"/>
      <c r="W20" s="33"/>
      <c r="X20" s="53">
        <f t="shared" si="0"/>
        <v>16</v>
      </c>
      <c r="Y20" s="50">
        <v>50000</v>
      </c>
      <c r="Z20" s="38"/>
      <c r="AA20" s="38"/>
      <c r="AB20" s="53">
        <f t="shared" si="1"/>
        <v>16</v>
      </c>
      <c r="AC20" s="50">
        <f>IF(AB20&lt;=$F$16,IF($F$18=Лист2!$A$2,'Аннуитетное (с ндс)'!N26,IF('Калькулятор лизинга'!$F$18=Лист2!$A$3,Равномерное!N25,'Калькулятор лизинга'!Y20)),"")</f>
        <v>50000</v>
      </c>
      <c r="AD20" s="38"/>
      <c r="AE20" s="38"/>
      <c r="AF20" s="38"/>
      <c r="AG20" s="53">
        <f t="shared" si="2"/>
        <v>16</v>
      </c>
      <c r="AH20" s="50">
        <f>IF(AG20&lt;=$O$16,IF($O$18=Лист2!$A$2,'Кредит аннуитет'!M25,'Кредит равномерное'!M25),"")</f>
        <v>116985.37647866162</v>
      </c>
      <c r="AI20" s="38"/>
    </row>
    <row r="21" spans="2:35" ht="15" customHeight="1" thickTop="1" x14ac:dyDescent="0.25">
      <c r="B21" s="140" t="s">
        <v>81</v>
      </c>
      <c r="C21" s="141"/>
      <c r="D21" s="101" t="s">
        <v>73</v>
      </c>
      <c r="E21" s="102"/>
      <c r="F21" s="96">
        <v>116755</v>
      </c>
      <c r="G21" s="97"/>
      <c r="H21" s="97"/>
      <c r="I21" s="72"/>
      <c r="J21" s="72"/>
      <c r="K21" s="143" t="s">
        <v>81</v>
      </c>
      <c r="L21" s="141"/>
      <c r="M21" s="101" t="s">
        <v>73</v>
      </c>
      <c r="N21" s="102"/>
      <c r="O21" s="97">
        <v>116755</v>
      </c>
      <c r="P21" s="97"/>
      <c r="Q21" s="97"/>
      <c r="R21" s="73"/>
      <c r="S21" s="38"/>
      <c r="T21" s="38"/>
      <c r="U21" s="33"/>
      <c r="V21" s="33"/>
      <c r="W21" s="33"/>
      <c r="X21" s="53">
        <f t="shared" si="0"/>
        <v>17</v>
      </c>
      <c r="Y21" s="50">
        <v>60000</v>
      </c>
      <c r="Z21" s="38"/>
      <c r="AA21" s="38"/>
      <c r="AB21" s="53">
        <f t="shared" si="1"/>
        <v>17</v>
      </c>
      <c r="AC21" s="50">
        <f>IF(AB21&lt;=$F$16,IF($F$18=Лист2!$A$2,'Аннуитетное (с ндс)'!N27,IF('Калькулятор лизинга'!$F$18=Лист2!$A$3,Равномерное!N26,'Калькулятор лизинга'!Y21)),"")</f>
        <v>60000</v>
      </c>
      <c r="AD21" s="38"/>
      <c r="AE21" s="38"/>
      <c r="AF21" s="38"/>
      <c r="AG21" s="53">
        <f t="shared" si="2"/>
        <v>17</v>
      </c>
      <c r="AH21" s="50">
        <f>IF(AG21&lt;=$O$16,IF($O$18=Лист2!$A$2,'Кредит аннуитет'!M26,'Кредит равномерное'!M26),"")</f>
        <v>116984.14115919897</v>
      </c>
      <c r="AI21" s="38"/>
    </row>
    <row r="22" spans="2:35" ht="15" customHeight="1" x14ac:dyDescent="0.25">
      <c r="B22" s="142"/>
      <c r="C22" s="141"/>
      <c r="D22" s="103"/>
      <c r="E22" s="104"/>
      <c r="F22" s="98"/>
      <c r="G22" s="99"/>
      <c r="H22" s="99"/>
      <c r="I22" s="72"/>
      <c r="J22" s="72"/>
      <c r="K22" s="141"/>
      <c r="L22" s="141"/>
      <c r="M22" s="103"/>
      <c r="N22" s="104"/>
      <c r="O22" s="99"/>
      <c r="P22" s="99"/>
      <c r="Q22" s="99"/>
      <c r="R22" s="73"/>
      <c r="S22" s="38"/>
      <c r="T22" s="38"/>
      <c r="U22" s="33"/>
      <c r="V22" s="33"/>
      <c r="W22" s="33"/>
      <c r="X22" s="53">
        <f t="shared" si="0"/>
        <v>18</v>
      </c>
      <c r="Y22" s="50">
        <v>60000</v>
      </c>
      <c r="Z22" s="38"/>
      <c r="AA22" s="38"/>
      <c r="AB22" s="53">
        <f t="shared" si="1"/>
        <v>18</v>
      </c>
      <c r="AC22" s="50">
        <f>IF(AB22&lt;=$F$16,IF($F$18=Лист2!$A$2,'Аннуитетное (с ндс)'!N28,IF('Калькулятор лизинга'!$F$18=Лист2!$A$3,Равномерное!N27,'Калькулятор лизинга'!Y22)),"")</f>
        <v>60000</v>
      </c>
      <c r="AD22" s="38"/>
      <c r="AE22" s="38"/>
      <c r="AF22" s="38"/>
      <c r="AG22" s="53">
        <f t="shared" si="2"/>
        <v>18</v>
      </c>
      <c r="AH22" s="50">
        <f>IF(AG22&lt;=$O$16,IF($O$18=Лист2!$A$2,'Кредит аннуитет'!M27,'Кредит равномерное'!M27),"")</f>
        <v>116982.86029198969</v>
      </c>
      <c r="AI22" s="38"/>
    </row>
    <row r="23" spans="2:35" ht="16.5" customHeight="1" thickBot="1" x14ac:dyDescent="0.3">
      <c r="B23" s="142"/>
      <c r="C23" s="141"/>
      <c r="D23" s="105"/>
      <c r="E23" s="106"/>
      <c r="F23" s="107"/>
      <c r="G23" s="108"/>
      <c r="H23" s="108"/>
      <c r="I23" s="72"/>
      <c r="J23" s="72"/>
      <c r="K23" s="141"/>
      <c r="L23" s="141"/>
      <c r="M23" s="105"/>
      <c r="N23" s="106"/>
      <c r="O23" s="108"/>
      <c r="P23" s="108"/>
      <c r="Q23" s="108"/>
      <c r="R23" s="73"/>
      <c r="S23" s="38"/>
      <c r="T23" s="38"/>
      <c r="U23" s="33"/>
      <c r="V23" s="33"/>
      <c r="W23" s="33"/>
      <c r="X23" s="53">
        <f t="shared" si="0"/>
        <v>19</v>
      </c>
      <c r="Y23" s="50">
        <v>60000</v>
      </c>
      <c r="Z23" s="38"/>
      <c r="AA23" s="38"/>
      <c r="AB23" s="53">
        <f t="shared" si="1"/>
        <v>19</v>
      </c>
      <c r="AC23" s="50">
        <f>IF(AB23&lt;=$F$16,IF($F$18=Лист2!$A$2,'Аннуитетное (с ндс)'!N29,IF('Калькулятор лизинга'!$F$18=Лист2!$A$3,Равномерное!N28,'Калькулятор лизинга'!Y23)),"")</f>
        <v>60000</v>
      </c>
      <c r="AD23" s="38"/>
      <c r="AE23" s="38"/>
      <c r="AF23" s="38"/>
      <c r="AG23" s="53">
        <f t="shared" si="2"/>
        <v>19</v>
      </c>
      <c r="AH23" s="50">
        <f>IF(AG23&lt;=$O$16,IF($O$18=Лист2!$A$2,'Кредит аннуитет'!M28,'Кредит равномерное'!M28),"")</f>
        <v>116981.53219763239</v>
      </c>
      <c r="AI23" s="38"/>
    </row>
    <row r="24" spans="2:35" ht="16.5" thickTop="1" x14ac:dyDescent="0.25">
      <c r="B24" s="95" t="s">
        <v>82</v>
      </c>
      <c r="C24" s="94"/>
      <c r="D24" s="150" t="s">
        <v>1</v>
      </c>
      <c r="E24" s="151"/>
      <c r="F24" s="96">
        <v>30</v>
      </c>
      <c r="G24" s="97"/>
      <c r="H24" s="97"/>
      <c r="I24" s="72"/>
      <c r="J24" s="72"/>
      <c r="K24" s="94" t="s">
        <v>82</v>
      </c>
      <c r="L24" s="94"/>
      <c r="M24" s="156" t="s">
        <v>66</v>
      </c>
      <c r="N24" s="157"/>
      <c r="O24" s="162">
        <v>30</v>
      </c>
      <c r="P24" s="162"/>
      <c r="Q24" s="162"/>
      <c r="R24" s="73"/>
      <c r="S24" s="38"/>
      <c r="T24" s="38"/>
      <c r="U24" s="33"/>
      <c r="V24" s="33"/>
      <c r="W24" s="33"/>
      <c r="X24" s="53">
        <f t="shared" si="0"/>
        <v>20</v>
      </c>
      <c r="Y24" s="50">
        <v>60000</v>
      </c>
      <c r="Z24" s="38"/>
      <c r="AA24" s="38"/>
      <c r="AB24" s="53">
        <f t="shared" si="1"/>
        <v>20</v>
      </c>
      <c r="AC24" s="50">
        <f>IF(AB24&lt;=$F$16,IF($F$18=Лист2!$A$2,'Аннуитетное (с ндс)'!N30,IF('Калькулятор лизинга'!$F$18=Лист2!$A$3,Равномерное!N29,'Калькулятор лизинга'!Y24)),"")</f>
        <v>60000</v>
      </c>
      <c r="AD24" s="38"/>
      <c r="AE24" s="38"/>
      <c r="AF24" s="38"/>
      <c r="AG24" s="53">
        <f t="shared" si="2"/>
        <v>20</v>
      </c>
      <c r="AH24" s="50">
        <f>IF(AG24&lt;=$O$16,IF($O$18=Лист2!$A$2,'Кредит аннуитет'!M29,'Кредит равномерное'!M29),"")</f>
        <v>116980.15513480407</v>
      </c>
      <c r="AI24" s="38"/>
    </row>
    <row r="25" spans="2:35" ht="16.5" customHeight="1" x14ac:dyDescent="0.25">
      <c r="B25" s="95"/>
      <c r="C25" s="94"/>
      <c r="D25" s="150"/>
      <c r="E25" s="151"/>
      <c r="F25" s="98"/>
      <c r="G25" s="99"/>
      <c r="H25" s="99"/>
      <c r="I25" s="72"/>
      <c r="J25" s="72"/>
      <c r="K25" s="94"/>
      <c r="L25" s="94"/>
      <c r="M25" s="158"/>
      <c r="N25" s="159"/>
      <c r="O25" s="163"/>
      <c r="P25" s="163"/>
      <c r="Q25" s="163"/>
      <c r="R25" s="73"/>
      <c r="S25" s="38"/>
      <c r="T25" s="38"/>
      <c r="U25" s="33"/>
      <c r="V25" s="33"/>
      <c r="W25" s="33"/>
      <c r="X25" s="53">
        <f t="shared" si="0"/>
        <v>21</v>
      </c>
      <c r="Y25" s="50">
        <v>60000</v>
      </c>
      <c r="Z25" s="38"/>
      <c r="AA25" s="38"/>
      <c r="AB25" s="53">
        <f t="shared" si="1"/>
        <v>21</v>
      </c>
      <c r="AC25" s="50">
        <f>IF(AB25&lt;=$F$16,IF($F$18=Лист2!$A$2,'Аннуитетное (с ндс)'!N31,IF('Калькулятор лизинга'!$F$18=Лист2!$A$3,Равномерное!N30,'Калькулятор лизинга'!Y25)),"")</f>
        <v>60000</v>
      </c>
      <c r="AD25" s="38"/>
      <c r="AE25" s="38"/>
      <c r="AF25" s="38"/>
      <c r="AG25" s="53">
        <f t="shared" si="2"/>
        <v>21</v>
      </c>
      <c r="AH25" s="50">
        <f>IF(AG25&lt;=$O$16,IF($O$18=Лист2!$A$2,'Кредит аннуитет'!M30,'Кредит равномерное'!M30),"")</f>
        <v>116978.72729797705</v>
      </c>
      <c r="AI25" s="38"/>
    </row>
    <row r="26" spans="2:35" ht="15.75" customHeight="1" thickBot="1" x14ac:dyDescent="0.3">
      <c r="B26" s="95"/>
      <c r="C26" s="94"/>
      <c r="D26" s="152"/>
      <c r="E26" s="153"/>
      <c r="F26" s="107"/>
      <c r="G26" s="108"/>
      <c r="H26" s="108"/>
      <c r="I26" s="72"/>
      <c r="J26" s="72"/>
      <c r="K26" s="94"/>
      <c r="L26" s="94"/>
      <c r="M26" s="160"/>
      <c r="N26" s="161"/>
      <c r="O26" s="164"/>
      <c r="P26" s="164"/>
      <c r="Q26" s="164"/>
      <c r="R26" s="73"/>
      <c r="S26" s="38"/>
      <c r="T26" s="38"/>
      <c r="U26" s="33"/>
      <c r="V26" s="33"/>
      <c r="W26" s="33"/>
      <c r="X26" s="53">
        <f t="shared" si="0"/>
        <v>22</v>
      </c>
      <c r="Y26" s="50">
        <v>60000</v>
      </c>
      <c r="Z26" s="38"/>
      <c r="AA26" s="38"/>
      <c r="AB26" s="53">
        <f t="shared" si="1"/>
        <v>22</v>
      </c>
      <c r="AC26" s="50">
        <f>IF(AB26&lt;=$F$16,IF($F$18=Лист2!$A$2,'Аннуитетное (с ндс)'!N32,IF('Калькулятор лизинга'!$F$18=Лист2!$A$3,Равномерное!N31,'Калькулятор лизинга'!Y26)),"")</f>
        <v>60000</v>
      </c>
      <c r="AD26" s="38"/>
      <c r="AE26" s="38"/>
      <c r="AF26" s="38"/>
      <c r="AG26" s="53">
        <f t="shared" si="2"/>
        <v>22</v>
      </c>
      <c r="AH26" s="50">
        <f>IF(AG26&lt;=$O$16,IF($O$18=Лист2!$A$2,'Кредит аннуитет'!M31,'Кредит равномерное'!M31),"")</f>
        <v>116977.24681505158</v>
      </c>
      <c r="AI26" s="38"/>
    </row>
    <row r="27" spans="2:35" ht="15.75" customHeight="1" thickTop="1" x14ac:dyDescent="0.25">
      <c r="B27" s="86" t="s">
        <v>143</v>
      </c>
      <c r="C27" s="87"/>
      <c r="D27" s="115" t="s">
        <v>58</v>
      </c>
      <c r="E27" s="116"/>
      <c r="F27" s="96">
        <v>1000</v>
      </c>
      <c r="G27" s="97"/>
      <c r="H27" s="97"/>
      <c r="I27" s="72"/>
      <c r="J27" s="74"/>
      <c r="K27" s="154" t="s">
        <v>84</v>
      </c>
      <c r="L27" s="154"/>
      <c r="M27" s="109" t="s">
        <v>2</v>
      </c>
      <c r="N27" s="110"/>
      <c r="O27" s="120">
        <v>60</v>
      </c>
      <c r="P27" s="113"/>
      <c r="Q27" s="113"/>
      <c r="R27" s="73"/>
      <c r="S27" s="38"/>
      <c r="T27" s="38"/>
      <c r="U27" s="33"/>
      <c r="V27" s="33"/>
      <c r="W27" s="33"/>
      <c r="X27" s="53">
        <f t="shared" si="0"/>
        <v>23</v>
      </c>
      <c r="Y27" s="50">
        <v>50000</v>
      </c>
      <c r="Z27" s="38"/>
      <c r="AA27" s="38"/>
      <c r="AB27" s="53">
        <f t="shared" si="1"/>
        <v>23</v>
      </c>
      <c r="AC27" s="50">
        <f>IF(AB27&lt;=$F$16,IF($F$18=Лист2!$A$2,'Аннуитетное (с ндс)'!N33,IF('Калькулятор лизинга'!$F$18=Лист2!$A$3,Равномерное!N32,'Калькулятор лизинга'!Y27)),"")</f>
        <v>50000</v>
      </c>
      <c r="AD27" s="38"/>
      <c r="AE27" s="38"/>
      <c r="AF27" s="38"/>
      <c r="AG27" s="53">
        <f t="shared" si="2"/>
        <v>23</v>
      </c>
      <c r="AH27" s="50">
        <f>IF(AG27&lt;=$O$16,IF($O$18=Лист2!$A$2,'Кредит аннуитет'!M32,'Кредит равномерное'!M32),"")</f>
        <v>116975.71174490135</v>
      </c>
      <c r="AI27" s="38"/>
    </row>
    <row r="28" spans="2:35" ht="15.75" customHeight="1" x14ac:dyDescent="0.25">
      <c r="B28" s="86"/>
      <c r="C28" s="87"/>
      <c r="D28" s="115"/>
      <c r="E28" s="116"/>
      <c r="F28" s="98"/>
      <c r="G28" s="99"/>
      <c r="H28" s="99"/>
      <c r="I28" s="72"/>
      <c r="J28" s="74"/>
      <c r="K28" s="154"/>
      <c r="L28" s="154"/>
      <c r="M28" s="111"/>
      <c r="N28" s="112"/>
      <c r="O28" s="131"/>
      <c r="P28" s="114"/>
      <c r="Q28" s="114"/>
      <c r="R28" s="73"/>
      <c r="S28" s="38"/>
      <c r="T28" s="38"/>
      <c r="U28" s="33"/>
      <c r="V28" s="33"/>
      <c r="W28" s="33"/>
      <c r="X28" s="53">
        <f>IF(X27&lt;$F$16,X27+1,"")</f>
        <v>24</v>
      </c>
      <c r="Y28" s="50">
        <v>50000</v>
      </c>
      <c r="Z28" s="38"/>
      <c r="AA28" s="38"/>
      <c r="AB28" s="53">
        <f>IF(AB27&lt;$F$16,AB27+1,"")</f>
        <v>24</v>
      </c>
      <c r="AC28" s="50">
        <f>IF(AB28&lt;=$F$16,IF($F$18=Лист2!$A$2,'Аннуитетное (с ндс)'!N34,IF('Калькулятор лизинга'!$F$18=Лист2!$A$3,Равномерное!N33,'Калькулятор лизинга'!Y28)),"")</f>
        <v>50000</v>
      </c>
      <c r="AD28" s="38"/>
      <c r="AE28" s="38"/>
      <c r="AF28" s="38"/>
      <c r="AG28" s="53">
        <f>IF(AG27&lt;$O$16,AG27+1,"")</f>
        <v>24</v>
      </c>
      <c r="AH28" s="50">
        <f>IF(AG28&lt;=$O$16,IF($O$18=Лист2!$A$2,'Кредит аннуитет'!M33,'Кредит равномерное'!M33),"")</f>
        <v>116974.12007482826</v>
      </c>
      <c r="AI28" s="38"/>
    </row>
    <row r="29" spans="2:35" ht="16.5" thickBot="1" x14ac:dyDescent="0.3">
      <c r="B29" s="86"/>
      <c r="C29" s="87"/>
      <c r="D29" s="115"/>
      <c r="E29" s="116"/>
      <c r="F29" s="107"/>
      <c r="G29" s="108"/>
      <c r="H29" s="108"/>
      <c r="I29" s="72"/>
      <c r="J29" s="74"/>
      <c r="K29" s="154"/>
      <c r="L29" s="154"/>
      <c r="M29" s="111"/>
      <c r="N29" s="112"/>
      <c r="O29" s="121"/>
      <c r="P29" s="122"/>
      <c r="Q29" s="122"/>
      <c r="R29" s="73"/>
      <c r="S29" s="38"/>
      <c r="T29" s="38"/>
      <c r="U29" s="33"/>
      <c r="V29" s="33"/>
      <c r="W29" s="33"/>
      <c r="X29" s="53">
        <f t="shared" si="0"/>
        <v>25</v>
      </c>
      <c r="Y29" s="50">
        <v>50000</v>
      </c>
      <c r="Z29" s="38"/>
      <c r="AA29" s="38"/>
      <c r="AB29" s="53">
        <f t="shared" si="1"/>
        <v>25</v>
      </c>
      <c r="AC29" s="50">
        <f>IF(AB29&lt;=$F$16,IF($F$18=Лист2!$A$2,'Аннуитетное (с ндс)'!N35,IF('Калькулятор лизинга'!$F$18=Лист2!$A$3,Равномерное!N34,'Калькулятор лизинга'!Y29)),"")</f>
        <v>50000</v>
      </c>
      <c r="AD29" s="38"/>
      <c r="AE29" s="38"/>
      <c r="AF29" s="38"/>
      <c r="AG29" s="53">
        <f t="shared" si="2"/>
        <v>25</v>
      </c>
      <c r="AH29" s="50">
        <f>IF(AG29&lt;=$O$16,IF($O$18=Лист2!$A$2,'Кредит аннуитет'!M34,'Кредит равномерное'!M34),"")</f>
        <v>116972.46971792362</v>
      </c>
      <c r="AI29" s="38"/>
    </row>
    <row r="30" spans="2:35" ht="16.5" customHeight="1" thickTop="1" x14ac:dyDescent="0.25">
      <c r="B30" s="95" t="s">
        <v>147</v>
      </c>
      <c r="C30" s="94"/>
      <c r="D30" s="90" t="s">
        <v>131</v>
      </c>
      <c r="E30" s="91"/>
      <c r="F30" s="96">
        <v>0.1</v>
      </c>
      <c r="G30" s="97"/>
      <c r="H30" s="97"/>
      <c r="I30" s="72"/>
      <c r="J30" s="74"/>
      <c r="K30" s="94" t="s">
        <v>147</v>
      </c>
      <c r="L30" s="94"/>
      <c r="M30" s="90" t="s">
        <v>131</v>
      </c>
      <c r="N30" s="91"/>
      <c r="O30" s="96">
        <v>0.1</v>
      </c>
      <c r="P30" s="97"/>
      <c r="Q30" s="97"/>
      <c r="R30" s="73"/>
      <c r="S30" s="38"/>
      <c r="T30" s="38"/>
      <c r="U30" s="33"/>
      <c r="V30" s="33"/>
      <c r="W30" s="33"/>
      <c r="X30" s="53">
        <f t="shared" si="0"/>
        <v>26</v>
      </c>
      <c r="Y30" s="50">
        <v>50000</v>
      </c>
      <c r="Z30" s="38"/>
      <c r="AA30" s="38"/>
      <c r="AB30" s="53">
        <f t="shared" si="1"/>
        <v>26</v>
      </c>
      <c r="AC30" s="50">
        <f>IF(AB30&lt;=$F$16,IF($F$18=Лист2!$A$2,'Аннуитетное (с ндс)'!N36,IF('Калькулятор лизинга'!$F$18=Лист2!$A$3,Равномерное!N35,'Калькулятор лизинга'!Y30)),"")</f>
        <v>50000</v>
      </c>
      <c r="AD30" s="38"/>
      <c r="AE30" s="38"/>
      <c r="AF30" s="38"/>
      <c r="AG30" s="53">
        <f t="shared" si="2"/>
        <v>26</v>
      </c>
      <c r="AH30" s="50">
        <f>IF(AG30&lt;=$O$16,IF($O$18=Лист2!$A$2,'Кредит аннуитет'!M35,'Кредит равномерное'!M35),"")</f>
        <v>116970.75851033186</v>
      </c>
      <c r="AI30" s="38"/>
    </row>
    <row r="31" spans="2:35" ht="15.75" x14ac:dyDescent="0.25">
      <c r="B31" s="95"/>
      <c r="C31" s="94"/>
      <c r="D31" s="92"/>
      <c r="E31" s="93"/>
      <c r="F31" s="98"/>
      <c r="G31" s="99"/>
      <c r="H31" s="99"/>
      <c r="I31" s="72"/>
      <c r="J31" s="75"/>
      <c r="K31" s="94"/>
      <c r="L31" s="94"/>
      <c r="M31" s="92"/>
      <c r="N31" s="93"/>
      <c r="O31" s="98"/>
      <c r="P31" s="99"/>
      <c r="Q31" s="99"/>
      <c r="R31" s="73"/>
      <c r="S31" s="38"/>
      <c r="T31" s="38"/>
      <c r="U31" s="33"/>
      <c r="V31" s="33"/>
      <c r="W31" s="33"/>
      <c r="X31" s="53">
        <f t="shared" si="0"/>
        <v>27</v>
      </c>
      <c r="Y31" s="50">
        <v>50000</v>
      </c>
      <c r="Z31" s="38"/>
      <c r="AA31" s="38"/>
      <c r="AB31" s="53">
        <f t="shared" si="1"/>
        <v>27</v>
      </c>
      <c r="AC31" s="50">
        <f>IF(AB31&lt;=$F$16,IF($F$18=Лист2!$A$2,'Аннуитетное (с ндс)'!N37,IF('Калькулятор лизинга'!$F$18=Лист2!$A$3,Равномерное!N36,'Калькулятор лизинга'!Y31)),"")</f>
        <v>50000</v>
      </c>
      <c r="AD31" s="38"/>
      <c r="AE31" s="38"/>
      <c r="AF31" s="38"/>
      <c r="AG31" s="53">
        <f t="shared" si="2"/>
        <v>27</v>
      </c>
      <c r="AH31" s="50">
        <f>IF(AG31&lt;=$O$16,IF($O$18=Лист2!$A$2,'Кредит аннуитет'!M36,'Кредит равномерное'!M36),"")</f>
        <v>116968.98420841333</v>
      </c>
      <c r="AI31" s="38"/>
    </row>
    <row r="32" spans="2:35" ht="16.5" thickBot="1" x14ac:dyDescent="0.3">
      <c r="B32" s="76"/>
      <c r="C32" s="7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/>
      <c r="S32" s="38"/>
      <c r="T32" s="38"/>
      <c r="U32" s="33"/>
      <c r="V32" s="33"/>
      <c r="W32" s="33"/>
      <c r="X32" s="53">
        <f t="shared" si="0"/>
        <v>28</v>
      </c>
      <c r="Y32" s="50">
        <v>50000</v>
      </c>
      <c r="Z32" s="38"/>
      <c r="AA32" s="38"/>
      <c r="AB32" s="53">
        <f t="shared" si="1"/>
        <v>28</v>
      </c>
      <c r="AC32" s="50">
        <f>IF(AB32&lt;=$F$16,IF($F$18=Лист2!$A$2,'Аннуитетное (с ндс)'!N38,IF('Калькулятор лизинга'!$F$18=Лист2!$A$3,Равномерное!N37,'Калькулятор лизинга'!Y32)),"")</f>
        <v>50000</v>
      </c>
      <c r="AD32" s="38"/>
      <c r="AE32" s="38"/>
      <c r="AF32" s="38"/>
      <c r="AG32" s="53">
        <f t="shared" si="2"/>
        <v>28</v>
      </c>
      <c r="AH32" s="50">
        <f>IF(AG32&lt;=$O$16,IF($O$18=Лист2!$A$2,'Кредит аннуитет'!M37,'Кредит равномерное'!M37),"")</f>
        <v>116967.14448580267</v>
      </c>
      <c r="AI32" s="38"/>
    </row>
    <row r="33" spans="2:35" ht="15.75" x14ac:dyDescent="0.25">
      <c r="B33" s="33"/>
      <c r="C33" s="38"/>
      <c r="D33" s="38"/>
      <c r="E33" s="38"/>
      <c r="F33" s="38"/>
      <c r="G33" s="38"/>
      <c r="H33" s="38"/>
      <c r="I33" s="130" t="s">
        <v>85</v>
      </c>
      <c r="J33" s="130"/>
      <c r="K33" s="130"/>
      <c r="L33" s="130" t="s">
        <v>86</v>
      </c>
      <c r="M33" s="130"/>
      <c r="N33" s="130"/>
      <c r="O33" s="38"/>
      <c r="P33" s="38"/>
      <c r="Q33" s="38"/>
      <c r="R33" s="38"/>
      <c r="S33" s="38"/>
      <c r="T33" s="38"/>
      <c r="U33" s="33"/>
      <c r="V33" s="33"/>
      <c r="W33" s="33"/>
      <c r="X33" s="53">
        <f t="shared" si="0"/>
        <v>29</v>
      </c>
      <c r="Y33" s="50">
        <v>50000</v>
      </c>
      <c r="Z33" s="38"/>
      <c r="AA33" s="38"/>
      <c r="AB33" s="53">
        <f t="shared" si="1"/>
        <v>29</v>
      </c>
      <c r="AC33" s="50">
        <f>IF(AB33&lt;=$F$16,IF($F$18=Лист2!$A$2,'Аннуитетное (с ндс)'!N39,IF('Калькулятор лизинга'!$F$18=Лист2!$A$3,Равномерное!N38,'Калькулятор лизинга'!Y33)),"")</f>
        <v>50000</v>
      </c>
      <c r="AD33" s="38"/>
      <c r="AE33" s="38"/>
      <c r="AF33" s="38"/>
      <c r="AG33" s="53">
        <f t="shared" si="2"/>
        <v>29</v>
      </c>
      <c r="AH33" s="50">
        <f>IF(AG33&lt;=$O$16,IF($O$18=Лист2!$A$2,'Кредит аннуитет'!M38,'Кредит равномерное'!M38),"")</f>
        <v>116965.23693035859</v>
      </c>
      <c r="AI33" s="38"/>
    </row>
    <row r="34" spans="2:35" ht="15.75" x14ac:dyDescent="0.25">
      <c r="B34" s="33"/>
      <c r="C34" s="38"/>
      <c r="D34" s="38"/>
      <c r="E34" s="38"/>
      <c r="F34" s="100"/>
      <c r="G34" s="100"/>
      <c r="H34" s="100"/>
      <c r="I34" s="130"/>
      <c r="J34" s="130"/>
      <c r="K34" s="130"/>
      <c r="L34" s="130"/>
      <c r="M34" s="130"/>
      <c r="N34" s="130"/>
      <c r="O34" s="38"/>
      <c r="P34" s="38"/>
      <c r="Q34" s="38"/>
      <c r="R34" s="38"/>
      <c r="S34" s="38"/>
      <c r="T34" s="38"/>
      <c r="U34" s="33"/>
      <c r="V34" s="33"/>
      <c r="W34" s="33"/>
      <c r="X34" s="53">
        <f t="shared" si="0"/>
        <v>30</v>
      </c>
      <c r="Y34" s="50">
        <v>50000</v>
      </c>
      <c r="Z34" s="38"/>
      <c r="AA34" s="38"/>
      <c r="AB34" s="53">
        <f t="shared" si="1"/>
        <v>30</v>
      </c>
      <c r="AC34" s="50">
        <f>IF(AB34&lt;=$F$16,IF($F$18=Лист2!$A$2,'Аннуитетное (с ндс)'!N40,IF('Калькулятор лизинга'!$F$18=Лист2!$A$3,Равномерное!N39,'Калькулятор лизинга'!Y34)),"")</f>
        <v>50000</v>
      </c>
      <c r="AD34" s="38"/>
      <c r="AE34" s="38"/>
      <c r="AF34" s="38"/>
      <c r="AG34" s="53">
        <f t="shared" si="2"/>
        <v>30</v>
      </c>
      <c r="AH34" s="50">
        <f>IF(AG34&lt;=$O$16,IF($O$18=Лист2!$A$2,'Кредит аннуитет'!M39,'Кредит равномерное'!M39),"")</f>
        <v>116963.25904100113</v>
      </c>
      <c r="AI34" s="38"/>
    </row>
    <row r="35" spans="2:35" ht="15.75" customHeight="1" x14ac:dyDescent="0.25">
      <c r="B35" s="33"/>
      <c r="C35" s="38"/>
      <c r="D35" s="42"/>
      <c r="E35" s="42"/>
      <c r="F35" s="100"/>
      <c r="G35" s="100"/>
      <c r="H35" s="100"/>
      <c r="I35" s="130"/>
      <c r="J35" s="130"/>
      <c r="K35" s="130"/>
      <c r="L35" s="130"/>
      <c r="M35" s="130"/>
      <c r="N35" s="130"/>
      <c r="O35" s="38"/>
      <c r="P35" s="38"/>
      <c r="Q35" s="38"/>
      <c r="R35" s="38"/>
      <c r="S35" s="38"/>
      <c r="T35" s="38"/>
      <c r="U35" s="33"/>
      <c r="V35" s="33"/>
      <c r="W35" s="33"/>
      <c r="X35" s="53">
        <f t="shared" si="0"/>
        <v>31</v>
      </c>
      <c r="Y35" s="50">
        <v>50000</v>
      </c>
      <c r="Z35" s="38"/>
      <c r="AA35" s="38"/>
      <c r="AB35" s="53">
        <f t="shared" si="1"/>
        <v>31</v>
      </c>
      <c r="AC35" s="50">
        <f>IF(AB35&lt;=$F$16,IF($F$18=Лист2!$A$2,'Аннуитетное (с ндс)'!N41,IF('Калькулятор лизинга'!$F$18=Лист2!$A$3,Равномерное!N40,'Калькулятор лизинга'!Y35)),"")</f>
        <v>50000</v>
      </c>
      <c r="AD35" s="38"/>
      <c r="AE35" s="38"/>
      <c r="AF35" s="38"/>
      <c r="AG35" s="53">
        <f t="shared" si="2"/>
        <v>31</v>
      </c>
      <c r="AH35" s="50">
        <f>IF(AG35&lt;=$O$16,IF($O$18=Лист2!$A$2,'Кредит аннуитет'!M40,'Кредит равномерное'!M40),"")</f>
        <v>116961.20822443251</v>
      </c>
      <c r="AI35" s="38"/>
    </row>
    <row r="36" spans="2:35" ht="15.75" customHeight="1" x14ac:dyDescent="0.25">
      <c r="B36" s="88" t="s">
        <v>135</v>
      </c>
      <c r="C36" s="88"/>
      <c r="D36" s="88"/>
      <c r="E36" s="88"/>
      <c r="F36" s="136" t="s">
        <v>27</v>
      </c>
      <c r="G36" s="136"/>
      <c r="H36" s="136"/>
      <c r="I36" s="129">
        <f>IF(F18=Лист2!A2,'Аннуитетное (с ндс)'!N4,IF(F18=Лист2!A3,Равномерное!N4,Персональный!C3))</f>
        <v>3208000</v>
      </c>
      <c r="J36" s="129"/>
      <c r="K36" s="129"/>
      <c r="L36" s="129">
        <f>IF(O18=Лист2!A2,'Кредит аннуитет'!M4,'Кредит равномерное'!M4)</f>
        <v>9675730.4402410444</v>
      </c>
      <c r="M36" s="129"/>
      <c r="N36" s="129"/>
      <c r="O36" s="38"/>
      <c r="P36" s="38"/>
      <c r="Q36" s="38"/>
      <c r="R36" s="38"/>
      <c r="S36" s="59" t="s">
        <v>129</v>
      </c>
      <c r="U36" s="33"/>
      <c r="V36" s="33"/>
      <c r="W36" s="33"/>
      <c r="X36" s="53">
        <f t="shared" si="0"/>
        <v>32</v>
      </c>
      <c r="Y36" s="50">
        <v>50000</v>
      </c>
      <c r="Z36" s="38"/>
      <c r="AA36" s="38"/>
      <c r="AB36" s="53">
        <f t="shared" si="1"/>
        <v>32</v>
      </c>
      <c r="AC36" s="50">
        <f>IF(AB36&lt;=$F$16,IF($F$18=Лист2!$A$2,'Аннуитетное (с ндс)'!N42,IF('Калькулятор лизинга'!$F$18=Лист2!$A$3,Равномерное!N41,'Калькулятор лизинга'!Y36)),"")</f>
        <v>50000</v>
      </c>
      <c r="AD36" s="38"/>
      <c r="AE36" s="38"/>
      <c r="AF36" s="38"/>
      <c r="AG36" s="53">
        <f t="shared" si="2"/>
        <v>32</v>
      </c>
      <c r="AH36" s="50">
        <f>IF(AG36&lt;=$O$16,IF($O$18=Лист2!$A$2,'Кредит аннуитет'!M41,'Кредит равномерное'!M41),"")</f>
        <v>116959.08179173683</v>
      </c>
      <c r="AI36" s="38"/>
    </row>
    <row r="37" spans="2:35" ht="15.75" x14ac:dyDescent="0.25">
      <c r="B37" s="88"/>
      <c r="C37" s="88"/>
      <c r="D37" s="88"/>
      <c r="E37" s="88"/>
      <c r="F37" s="89" t="s">
        <v>71</v>
      </c>
      <c r="G37" s="89"/>
      <c r="H37" s="89"/>
      <c r="I37" s="129">
        <f>IF(D24=Лист2!L2,'Калькулятор лизинга'!K5*'Калькулятор лизинга'!F24/100,'Калькулятор лизинга'!F24)</f>
        <v>1257000</v>
      </c>
      <c r="J37" s="129"/>
      <c r="K37" s="129"/>
      <c r="L37" s="129">
        <f>IF(M24=Лист2!N2,'Калькулятор лизинга'!O24/100*'Калькулятор лизинга'!K5,'Калькулятор лизинга'!O24)</f>
        <v>1257000</v>
      </c>
      <c r="M37" s="129"/>
      <c r="N37" s="129"/>
      <c r="O37" s="38"/>
      <c r="P37" s="38"/>
      <c r="Q37" s="38"/>
      <c r="R37" s="38"/>
      <c r="S37" s="60"/>
      <c r="T37" s="38"/>
      <c r="U37" s="33"/>
      <c r="V37" s="33"/>
      <c r="W37" s="33"/>
      <c r="X37" s="53">
        <f t="shared" si="0"/>
        <v>33</v>
      </c>
      <c r="Y37" s="50">
        <v>60000</v>
      </c>
      <c r="Z37" s="38"/>
      <c r="AA37" s="38"/>
      <c r="AB37" s="53">
        <f t="shared" si="1"/>
        <v>33</v>
      </c>
      <c r="AC37" s="50">
        <f>IF(AB37&lt;=$F$16,IF($F$18=Лист2!$A$2,'Аннуитетное (с ндс)'!N43,IF('Калькулятор лизинга'!$F$18=Лист2!$A$3,Равномерное!N42,'Калькулятор лизинга'!Y37)),"")</f>
        <v>60000</v>
      </c>
      <c r="AD37" s="38"/>
      <c r="AE37" s="38"/>
      <c r="AF37" s="38"/>
      <c r="AG37" s="53">
        <f t="shared" si="2"/>
        <v>33</v>
      </c>
      <c r="AH37" s="50">
        <f>IF(AG37&lt;=$O$16,IF($O$18=Лист2!$A$2,'Кредит аннуитет'!M42,'Кредит равномерное'!M42),"")</f>
        <v>116956.87695485455</v>
      </c>
      <c r="AI37" s="38"/>
    </row>
    <row r="38" spans="2:35" ht="15.75" customHeight="1" x14ac:dyDescent="0.25">
      <c r="B38" s="88"/>
      <c r="C38" s="88"/>
      <c r="D38" s="88"/>
      <c r="E38" s="88"/>
      <c r="F38" s="89"/>
      <c r="G38" s="89"/>
      <c r="H38" s="89"/>
      <c r="I38" s="129"/>
      <c r="J38" s="129"/>
      <c r="K38" s="129"/>
      <c r="L38" s="129"/>
      <c r="M38" s="129"/>
      <c r="N38" s="129"/>
      <c r="O38" s="38"/>
      <c r="P38" s="38"/>
      <c r="Q38" s="38"/>
      <c r="R38" s="38"/>
      <c r="S38" s="59" t="s">
        <v>129</v>
      </c>
      <c r="T38" s="38"/>
      <c r="U38" s="33"/>
      <c r="V38" s="33"/>
      <c r="W38" s="33"/>
      <c r="X38" s="53">
        <f>IF(X37&lt;$F$16,X37+1,"")</f>
        <v>34</v>
      </c>
      <c r="Y38" s="50">
        <v>60000</v>
      </c>
      <c r="Z38" s="38"/>
      <c r="AA38" s="38"/>
      <c r="AB38" s="53">
        <f>IF(AB37&lt;$F$16,AB37+1,"")</f>
        <v>34</v>
      </c>
      <c r="AC38" s="50">
        <f>IF(AB38&lt;=$F$16,IF($F$18=Лист2!$A$2,'Аннуитетное (с ндс)'!N44,IF('Калькулятор лизинга'!$F$18=Лист2!$A$3,Равномерное!N43,'Калькулятор лизинга'!Y38)),"")</f>
        <v>60000</v>
      </c>
      <c r="AD38" s="38"/>
      <c r="AE38" s="38"/>
      <c r="AF38" s="38"/>
      <c r="AG38" s="53">
        <f>IF(AG37&lt;$O$16,AG37+1,"")</f>
        <v>34</v>
      </c>
      <c r="AH38" s="50">
        <f>IF(AG38&lt;=$O$16,IF($O$18=Лист2!$A$2,'Кредит аннуитет'!M43,'Кредит равномерное'!M43),"")</f>
        <v>116954.59082292696</v>
      </c>
      <c r="AI38" s="38"/>
    </row>
    <row r="39" spans="2:35" ht="15.75" customHeight="1" x14ac:dyDescent="0.25">
      <c r="B39" s="88" t="str">
        <f>IF(F18=Лист2!A4,"невозможно расчитать страхование","")</f>
        <v>невозможно расчитать страхование</v>
      </c>
      <c r="C39" s="88"/>
      <c r="D39" s="88"/>
      <c r="E39" s="88"/>
      <c r="F39" s="89" t="s">
        <v>136</v>
      </c>
      <c r="G39" s="89"/>
      <c r="H39" s="89"/>
      <c r="I39" s="155" t="str">
        <f>IF(F18=Лист2!A2,'Аннуитетное (с ндс)'!W4,IF(F18=Лист2!A3,Равномерное!W4,"неизвестно"))</f>
        <v>неизвестно</v>
      </c>
      <c r="J39" s="155"/>
      <c r="K39" s="155"/>
      <c r="L39" s="129">
        <f>IF(O18=Лист2!A2,'Кредит аннуитет'!AB4,'Кредит равномерное'!AA4)</f>
        <v>12370.440241046201</v>
      </c>
      <c r="M39" s="129"/>
      <c r="N39" s="129"/>
      <c r="O39" s="38"/>
      <c r="P39" s="38"/>
      <c r="Q39" s="38"/>
      <c r="R39" s="38"/>
      <c r="S39" s="38"/>
      <c r="T39" s="38"/>
      <c r="U39" s="33"/>
      <c r="V39" s="33"/>
      <c r="W39" s="33"/>
      <c r="X39" s="53">
        <f t="shared" si="0"/>
        <v>35</v>
      </c>
      <c r="Y39" s="50">
        <v>60000</v>
      </c>
      <c r="Z39" s="38"/>
      <c r="AA39" s="38"/>
      <c r="AB39" s="53">
        <f t="shared" si="1"/>
        <v>35</v>
      </c>
      <c r="AC39" s="50">
        <f>IF(AB39&lt;=$F$16,IF($F$18=Лист2!$A$2,'Аннуитетное (с ндс)'!N45,IF('Калькулятор лизинга'!$F$18=Лист2!$A$3,Равномерное!N44,'Калькулятор лизинга'!Y39)),"")</f>
        <v>60000</v>
      </c>
      <c r="AD39" s="38"/>
      <c r="AE39" s="38"/>
      <c r="AF39" s="38"/>
      <c r="AG39" s="53">
        <f t="shared" si="2"/>
        <v>35</v>
      </c>
      <c r="AH39" s="50">
        <f>IF(AG39&lt;=$O$16,IF($O$18=Лист2!$A$2,'Кредит аннуитет'!M44,'Кредит равномерное'!M44),"")</f>
        <v>116952.22039850584</v>
      </c>
      <c r="AI39" s="38"/>
    </row>
    <row r="40" spans="2:35" ht="15" customHeight="1" x14ac:dyDescent="0.25">
      <c r="B40" s="43"/>
      <c r="C40" s="40"/>
      <c r="D40" s="40"/>
      <c r="E40" s="40"/>
      <c r="F40" s="49"/>
      <c r="G40" s="49"/>
      <c r="H40" s="49"/>
      <c r="I40" s="47"/>
      <c r="J40" s="47"/>
      <c r="K40" s="47"/>
      <c r="L40" s="47"/>
      <c r="M40" s="47"/>
      <c r="N40" s="47"/>
      <c r="O40" s="38"/>
      <c r="P40" s="38"/>
      <c r="Q40" s="38"/>
      <c r="R40" s="38"/>
      <c r="S40" s="38"/>
      <c r="T40" s="38"/>
      <c r="U40" s="33"/>
      <c r="V40" s="33"/>
      <c r="W40" s="33"/>
      <c r="X40" s="53">
        <f t="shared" si="0"/>
        <v>36</v>
      </c>
      <c r="Y40" s="50">
        <v>60000</v>
      </c>
      <c r="Z40" s="38"/>
      <c r="AA40" s="38"/>
      <c r="AB40" s="53">
        <f t="shared" si="1"/>
        <v>36</v>
      </c>
      <c r="AC40" s="50">
        <f>IF(AB40&lt;=$F$16,IF($F$18=Лист2!$A$2,'Аннуитетное (с ндс)'!N46,IF('Калькулятор лизинга'!$F$18=Лист2!$A$3,Равномерное!N45,'Калькулятор лизинга'!Y40)),"")</f>
        <v>60000</v>
      </c>
      <c r="AD40" s="38"/>
      <c r="AE40" s="38"/>
      <c r="AF40" s="38"/>
      <c r="AG40" s="53">
        <f t="shared" si="2"/>
        <v>36</v>
      </c>
      <c r="AH40" s="50">
        <f>IF(AG40&lt;=$O$16,IF($O$18=Лист2!$A$2,'Кредит аннуитет'!M45,'Кредит равномерное'!M45),"")</f>
        <v>116949.76257362339</v>
      </c>
      <c r="AI40" s="38"/>
    </row>
    <row r="41" spans="2:35" ht="15.75" customHeight="1" x14ac:dyDescent="0.25">
      <c r="B41" s="88" t="str">
        <f>IF('Аннуитетное (с ндс)'!D32="да","НДС на оборудование и на процент по лизингу подлежат возмещению","предприятие не является плательщиком НДС")</f>
        <v>НДС на оборудование и на процент по лизингу подлежат возмещению</v>
      </c>
      <c r="C41" s="88"/>
      <c r="D41" s="88"/>
      <c r="E41" s="88"/>
      <c r="F41" s="137" t="s">
        <v>63</v>
      </c>
      <c r="G41" s="137"/>
      <c r="H41" s="137"/>
      <c r="I41" s="128">
        <f>IF(F18=Лист2!A2,'Аннуитетное (с ндс)'!T4,IF(F18=Лист2!A3,Равномерное!T4,Персональный!D3))</f>
        <v>534666.66666666674</v>
      </c>
      <c r="J41" s="128"/>
      <c r="K41" s="128"/>
      <c r="L41" s="128">
        <f>IF(O18=Лист2!A2,'Кредит аннуитет'!O4,'Кредит равномерное'!O4)</f>
        <v>698333.33333333337</v>
      </c>
      <c r="M41" s="128"/>
      <c r="N41" s="128"/>
      <c r="O41" s="38"/>
      <c r="P41" s="38"/>
      <c r="Q41" s="38"/>
      <c r="R41" s="38"/>
      <c r="S41" s="38"/>
      <c r="T41" s="38"/>
      <c r="U41" s="33"/>
      <c r="V41" s="33"/>
      <c r="W41" s="33"/>
      <c r="X41" s="53">
        <f t="shared" si="0"/>
        <v>37</v>
      </c>
      <c r="Y41" s="50"/>
      <c r="Z41" s="38"/>
      <c r="AA41" s="38"/>
      <c r="AB41" s="53">
        <f t="shared" si="1"/>
        <v>37</v>
      </c>
      <c r="AC41" s="50">
        <f>IF(AB41&lt;=$F$16,IF($F$18=Лист2!$A$2,'Аннуитетное (с ндс)'!N47,IF('Калькулятор лизинга'!$F$18=Лист2!$A$3,Равномерное!N46,'Калькулятор лизинга'!Y41)),"")</f>
        <v>0</v>
      </c>
      <c r="AD41" s="38"/>
      <c r="AE41" s="38"/>
      <c r="AF41" s="38"/>
      <c r="AG41" s="53">
        <f t="shared" si="2"/>
        <v>37</v>
      </c>
      <c r="AH41" s="50">
        <f>IF(AG41&lt;=$O$16,IF($O$18=Лист2!$A$2,'Кредит аннуитет'!M46,'Кредит равномерное'!M46),"")</f>
        <v>116947.21412571716</v>
      </c>
      <c r="AI41" s="38"/>
    </row>
    <row r="42" spans="2:35" ht="15.75" x14ac:dyDescent="0.25">
      <c r="B42" s="88"/>
      <c r="C42" s="88"/>
      <c r="D42" s="88"/>
      <c r="E42" s="88"/>
      <c r="F42" s="137"/>
      <c r="G42" s="137"/>
      <c r="H42" s="137"/>
      <c r="I42" s="128"/>
      <c r="J42" s="128"/>
      <c r="K42" s="128"/>
      <c r="L42" s="128"/>
      <c r="M42" s="128"/>
      <c r="N42" s="128"/>
      <c r="O42" s="38"/>
      <c r="P42" s="38"/>
      <c r="Q42" s="38"/>
      <c r="R42" s="38"/>
      <c r="S42" s="38"/>
      <c r="T42" s="38"/>
      <c r="U42" s="33"/>
      <c r="V42" s="33"/>
      <c r="W42" s="33"/>
      <c r="X42" s="53">
        <f t="shared" si="0"/>
        <v>38</v>
      </c>
      <c r="Y42" s="50"/>
      <c r="Z42" s="38"/>
      <c r="AA42" s="38"/>
      <c r="AB42" s="53">
        <f t="shared" si="1"/>
        <v>38</v>
      </c>
      <c r="AC42" s="50">
        <f>IF(AB42&lt;=$F$16,IF($F$18=Лист2!$A$2,'Аннуитетное (с ндс)'!N48,IF('Калькулятор лизинга'!$F$18=Лист2!$A$3,Равномерное!N47,'Калькулятор лизинга'!Y42)),"")</f>
        <v>0</v>
      </c>
      <c r="AD42" s="38"/>
      <c r="AE42" s="38"/>
      <c r="AF42" s="38"/>
      <c r="AG42" s="53">
        <f t="shared" si="2"/>
        <v>38</v>
      </c>
      <c r="AH42" s="50">
        <f>IF(AG42&lt;=$O$16,IF($O$18=Лист2!$A$2,'Кредит аннуитет'!M47,'Кредит равномерное'!M47),"")</f>
        <v>116944.57171340493</v>
      </c>
      <c r="AI42" s="38"/>
    </row>
    <row r="43" spans="2:35" ht="15.75" customHeight="1" x14ac:dyDescent="0.25">
      <c r="B43" s="46"/>
      <c r="C43" s="46"/>
      <c r="D43" s="46"/>
      <c r="E43" s="46"/>
      <c r="F43" s="41"/>
      <c r="G43" s="41"/>
      <c r="H43" s="41"/>
      <c r="I43" s="47"/>
      <c r="J43" s="47"/>
      <c r="K43" s="47"/>
      <c r="L43" s="47"/>
      <c r="M43" s="47"/>
      <c r="N43" s="47"/>
      <c r="O43" s="38"/>
      <c r="P43" s="38"/>
      <c r="Q43" s="38"/>
      <c r="R43" s="38"/>
      <c r="S43" s="38"/>
      <c r="T43" s="38"/>
      <c r="U43" s="33"/>
      <c r="V43" s="33"/>
      <c r="W43" s="33"/>
      <c r="X43" s="53">
        <f t="shared" si="0"/>
        <v>39</v>
      </c>
      <c r="Y43" s="50"/>
      <c r="Z43" s="38"/>
      <c r="AA43" s="38"/>
      <c r="AB43" s="53">
        <f t="shared" si="1"/>
        <v>39</v>
      </c>
      <c r="AC43" s="50">
        <f>IF(AB43&lt;=$F$16,IF($F$18=Лист2!$A$2,'Аннуитетное (с ндс)'!N49,IF('Калькулятор лизинга'!$F$18=Лист2!$A$3,Равномерное!N48,'Калькулятор лизинга'!Y43)),"")</f>
        <v>0</v>
      </c>
      <c r="AD43" s="38"/>
      <c r="AE43" s="38"/>
      <c r="AF43" s="38"/>
      <c r="AG43" s="53">
        <f t="shared" si="2"/>
        <v>39</v>
      </c>
      <c r="AH43" s="50">
        <f>IF(AG43&lt;=$O$16,IF($O$18=Лист2!$A$2,'Кредит аннуитет'!M48,'Кредит равномерное'!M48),"")</f>
        <v>116941.83187210356</v>
      </c>
      <c r="AI43" s="38"/>
    </row>
    <row r="44" spans="2:35" ht="15.75" x14ac:dyDescent="0.25">
      <c r="B44" s="88" t="str">
        <f>IF('Аннуитетное (с ндс)'!D33="да","налогооблагаемая база сокращается на расходы по лизингу и страхованию, проценты по кредиту и амортизацию","расходы не влияют на налогооблагаемую базу")</f>
        <v>налогооблагаемая база сокращается на расходы по лизингу и страхованию, проценты по кредиту и амортизацию</v>
      </c>
      <c r="C44" s="88"/>
      <c r="D44" s="88"/>
      <c r="E44" s="88"/>
      <c r="F44" s="136" t="s">
        <v>5</v>
      </c>
      <c r="G44" s="136"/>
      <c r="H44" s="136"/>
      <c r="I44" s="129">
        <f>IF(F18=Лист2!A2,'Аннуитетное (с ндс)'!S4,IF(F18=Лист2!A3,Равномерное!S4,Персональный!F3))</f>
        <v>534666.6666666664</v>
      </c>
      <c r="J44" s="129"/>
      <c r="K44" s="129"/>
      <c r="L44" s="129">
        <f>IF(O18=Лист2!A2,SUM('Кредит аннуитет'!W4:Y4),SUM('Кредит равномерное'!V4:X4))</f>
        <v>1795350.5306662207</v>
      </c>
      <c r="M44" s="129"/>
      <c r="N44" s="129"/>
      <c r="O44" s="38"/>
      <c r="P44" s="38"/>
      <c r="Q44" s="38"/>
      <c r="R44" s="38"/>
      <c r="S44" s="38"/>
      <c r="T44" s="38"/>
      <c r="U44" s="33"/>
      <c r="V44" s="33"/>
      <c r="W44" s="33"/>
      <c r="X44" s="53">
        <f t="shared" si="0"/>
        <v>40</v>
      </c>
      <c r="Y44" s="50"/>
      <c r="Z44" s="38"/>
      <c r="AA44" s="38"/>
      <c r="AB44" s="53">
        <f t="shared" si="1"/>
        <v>40</v>
      </c>
      <c r="AC44" s="50">
        <f>IF(AB44&lt;=$F$16,IF($F$18=Лист2!$A$2,'Аннуитетное (с ндс)'!N50,IF('Калькулятор лизинга'!$F$18=Лист2!$A$3,Равномерное!N49,'Калькулятор лизинга'!Y44)),"")</f>
        <v>0</v>
      </c>
      <c r="AD44" s="38"/>
      <c r="AE44" s="38"/>
      <c r="AF44" s="38"/>
      <c r="AG44" s="53">
        <f t="shared" si="2"/>
        <v>40</v>
      </c>
      <c r="AH44" s="50">
        <f>IF(AG44&lt;=$O$16,IF($O$18=Лист2!$A$2,'Кредит аннуитет'!M49,'Кредит равномерное'!M49),"")</f>
        <v>116938.99100948652</v>
      </c>
      <c r="AI44" s="38"/>
    </row>
    <row r="45" spans="2:35" ht="15.75" x14ac:dyDescent="0.25">
      <c r="B45" s="88"/>
      <c r="C45" s="88"/>
      <c r="D45" s="88"/>
      <c r="E45" s="88"/>
      <c r="F45" s="136"/>
      <c r="G45" s="136"/>
      <c r="H45" s="136"/>
      <c r="I45" s="129"/>
      <c r="J45" s="129"/>
      <c r="K45" s="129"/>
      <c r="L45" s="129"/>
      <c r="M45" s="129"/>
      <c r="N45" s="129"/>
      <c r="O45" s="38"/>
      <c r="P45" s="38"/>
      <c r="Q45" s="38"/>
      <c r="R45" s="38"/>
      <c r="S45" s="38"/>
      <c r="T45" s="38"/>
      <c r="U45" s="33"/>
      <c r="V45" s="33"/>
      <c r="W45" s="33"/>
      <c r="X45" s="53">
        <f t="shared" si="0"/>
        <v>41</v>
      </c>
      <c r="Y45" s="50"/>
      <c r="Z45" s="38"/>
      <c r="AA45" s="38"/>
      <c r="AB45" s="53">
        <f t="shared" si="1"/>
        <v>41</v>
      </c>
      <c r="AC45" s="50">
        <f>IF(AB45&lt;=$F$16,IF($F$18=Лист2!$A$2,'Аннуитетное (с ндс)'!N51,IF('Калькулятор лизинга'!$F$18=Лист2!$A$3,Равномерное!N50,'Калькулятор лизинга'!Y45)),"")</f>
        <v>0</v>
      </c>
      <c r="AD45" s="38"/>
      <c r="AE45" s="38"/>
      <c r="AF45" s="38"/>
      <c r="AG45" s="53">
        <f t="shared" si="2"/>
        <v>41</v>
      </c>
      <c r="AH45" s="50">
        <f>IF(AG45&lt;=$O$16,IF($O$18=Лист2!$A$2,'Кредит аннуитет'!M50,'Кредит равномерное'!M50),"")</f>
        <v>116936.04540077373</v>
      </c>
      <c r="AI45" s="38"/>
    </row>
    <row r="46" spans="2:35" ht="15.75" customHeight="1" x14ac:dyDescent="0.25">
      <c r="B46" s="88"/>
      <c r="C46" s="88"/>
      <c r="D46" s="88"/>
      <c r="E46" s="88"/>
      <c r="F46" s="136"/>
      <c r="G46" s="136"/>
      <c r="H46" s="136"/>
      <c r="I46" s="129"/>
      <c r="J46" s="129"/>
      <c r="K46" s="129"/>
      <c r="L46" s="129"/>
      <c r="M46" s="129"/>
      <c r="N46" s="129"/>
      <c r="O46" s="38"/>
      <c r="P46" s="38"/>
      <c r="Q46" s="38"/>
      <c r="R46" s="38"/>
      <c r="S46" s="38"/>
      <c r="T46" s="38"/>
      <c r="U46" s="33"/>
      <c r="V46" s="33"/>
      <c r="W46" s="33"/>
      <c r="X46" s="53">
        <f t="shared" si="0"/>
        <v>42</v>
      </c>
      <c r="Y46" s="50"/>
      <c r="Z46" s="38"/>
      <c r="AA46" s="38"/>
      <c r="AB46" s="53">
        <f t="shared" si="1"/>
        <v>42</v>
      </c>
      <c r="AC46" s="50">
        <f>IF(AB46&lt;=$F$16,IF($F$18=Лист2!$A$2,'Аннуитетное (с ндс)'!N52,IF('Калькулятор лизинга'!$F$18=Лист2!$A$3,Равномерное!N51,'Калькулятор лизинга'!Y46)),"")</f>
        <v>0</v>
      </c>
      <c r="AD46" s="38"/>
      <c r="AE46" s="38"/>
      <c r="AF46" s="38"/>
      <c r="AG46" s="53">
        <f t="shared" si="2"/>
        <v>42</v>
      </c>
      <c r="AH46" s="50">
        <f>IF(AG46&lt;=$O$16,IF($O$18=Лист2!$A$2,'Кредит аннуитет'!M51,'Кредит равномерное'!M51),"")</f>
        <v>116932.99118384795</v>
      </c>
      <c r="AI46" s="38"/>
    </row>
    <row r="47" spans="2:35" ht="15.75" x14ac:dyDescent="0.25">
      <c r="B47" s="46"/>
      <c r="C47" s="46"/>
      <c r="D47" s="46"/>
      <c r="E47" s="46"/>
      <c r="F47" s="41"/>
      <c r="G47" s="41"/>
      <c r="H47" s="41"/>
      <c r="I47" s="47"/>
      <c r="J47" s="47"/>
      <c r="K47" s="47"/>
      <c r="L47" s="47"/>
      <c r="M47" s="47"/>
      <c r="N47" s="47"/>
      <c r="O47" s="38"/>
      <c r="P47" s="38"/>
      <c r="Q47" s="38"/>
      <c r="R47" s="38"/>
      <c r="S47" s="38"/>
      <c r="T47" s="38"/>
      <c r="U47" s="33"/>
      <c r="V47" s="33"/>
      <c r="W47" s="33"/>
      <c r="X47" s="53">
        <f t="shared" si="0"/>
        <v>43</v>
      </c>
      <c r="Y47" s="50"/>
      <c r="Z47" s="38"/>
      <c r="AA47" s="38"/>
      <c r="AB47" s="53">
        <f t="shared" si="1"/>
        <v>43</v>
      </c>
      <c r="AC47" s="50">
        <f>IF(AB47&lt;=$F$16,IF($F$18=Лист2!$A$2,'Аннуитетное (с ндс)'!N53,IF('Калькулятор лизинга'!$F$18=Лист2!$A$3,Равномерное!N52,'Калькулятор лизинга'!Y47)),"")</f>
        <v>0</v>
      </c>
      <c r="AD47" s="38"/>
      <c r="AE47" s="38"/>
      <c r="AF47" s="38"/>
      <c r="AG47" s="53">
        <f t="shared" si="2"/>
        <v>43</v>
      </c>
      <c r="AH47" s="50">
        <f>IF(AG47&lt;=$O$16,IF($O$18=Лист2!$A$2,'Кредит аннуитет'!M52,'Кредит равномерное'!M52),"")</f>
        <v>116929.82435419086</v>
      </c>
      <c r="AI47" s="38"/>
    </row>
    <row r="48" spans="2:35" ht="15.75" x14ac:dyDescent="0.25">
      <c r="B48" s="88" t="s">
        <v>87</v>
      </c>
      <c r="C48" s="88"/>
      <c r="D48" s="88"/>
      <c r="E48" s="88"/>
      <c r="F48" s="137" t="s">
        <v>88</v>
      </c>
      <c r="G48" s="137"/>
      <c r="H48" s="137"/>
      <c r="I48" s="128">
        <f>IF(F18=Лист2!A2,'Аннуитетное (с ндс)'!D30,Равномерное!D27)</f>
        <v>8335608468.633337</v>
      </c>
      <c r="J48" s="128"/>
      <c r="K48" s="128"/>
      <c r="L48" s="128">
        <f>IF(O18=Лист2!A2,'Кредит аннуитет'!D35,'Кредит равномерное'!D35)</f>
        <v>7182046.5762414895</v>
      </c>
      <c r="M48" s="128"/>
      <c r="N48" s="128"/>
      <c r="O48" s="38"/>
      <c r="P48" s="38"/>
      <c r="Q48" s="38"/>
      <c r="R48" s="38"/>
      <c r="S48" s="38"/>
      <c r="T48" s="38"/>
      <c r="U48" s="33"/>
      <c r="V48" s="33"/>
      <c r="W48" s="33"/>
      <c r="X48" s="53">
        <f t="shared" si="0"/>
        <v>44</v>
      </c>
      <c r="Y48" s="50"/>
      <c r="Z48" s="38"/>
      <c r="AA48" s="38"/>
      <c r="AB48" s="53">
        <f t="shared" si="1"/>
        <v>44</v>
      </c>
      <c r="AC48" s="50">
        <f>IF(AB48&lt;=$F$16,IF($F$18=Лист2!$A$2,'Аннуитетное (с ндс)'!N54,IF('Калькулятор лизинга'!$F$18=Лист2!$A$3,Равномерное!N53,'Калькулятор лизинга'!Y48)),"")</f>
        <v>0</v>
      </c>
      <c r="AD48" s="38"/>
      <c r="AE48" s="38"/>
      <c r="AF48" s="38"/>
      <c r="AG48" s="53">
        <f t="shared" si="2"/>
        <v>44</v>
      </c>
      <c r="AH48" s="50">
        <f>IF(AG48&lt;=$O$16,IF($O$18=Лист2!$A$2,'Кредит аннуитет'!M53,'Кредит равномерное'!M53),"")</f>
        <v>116926.54075963271</v>
      </c>
      <c r="AI48" s="38"/>
    </row>
    <row r="49" spans="2:35" ht="15.75" x14ac:dyDescent="0.25">
      <c r="B49" s="88"/>
      <c r="C49" s="88"/>
      <c r="D49" s="88"/>
      <c r="E49" s="88"/>
      <c r="F49" s="137"/>
      <c r="G49" s="137"/>
      <c r="H49" s="137"/>
      <c r="I49" s="128"/>
      <c r="J49" s="128"/>
      <c r="K49" s="128"/>
      <c r="L49" s="128"/>
      <c r="M49" s="128"/>
      <c r="N49" s="128"/>
      <c r="O49" s="38"/>
      <c r="P49" s="38"/>
      <c r="Q49" s="38"/>
      <c r="R49" s="38"/>
      <c r="S49" s="38"/>
      <c r="T49" s="38"/>
      <c r="U49" s="33"/>
      <c r="V49" s="33"/>
      <c r="W49" s="33"/>
      <c r="X49" s="53">
        <f t="shared" si="0"/>
        <v>45</v>
      </c>
      <c r="Y49" s="50"/>
      <c r="Z49" s="38"/>
      <c r="AA49" s="38"/>
      <c r="AB49" s="53">
        <f t="shared" si="1"/>
        <v>45</v>
      </c>
      <c r="AC49" s="50">
        <f>IF(AB49&lt;=$F$16,IF($F$18=Лист2!$A$2,'Аннуитетное (с ндс)'!N55,IF('Калькулятор лизинга'!$F$18=Лист2!$A$3,Равномерное!N54,'Калькулятор лизинга'!Y49)),"")</f>
        <v>0</v>
      </c>
      <c r="AD49" s="38"/>
      <c r="AE49" s="38"/>
      <c r="AF49" s="38"/>
      <c r="AG49" s="53">
        <f t="shared" si="2"/>
        <v>45</v>
      </c>
      <c r="AH49" s="50">
        <f>IF(AG49&lt;=$O$16,IF($O$18=Лист2!$A$2,'Кредит аннуитет'!M54,'Кредит равномерное'!M54),"")</f>
        <v>116923.1360949081</v>
      </c>
      <c r="AI49" s="38"/>
    </row>
    <row r="50" spans="2:35" ht="15.75" customHeight="1" x14ac:dyDescent="0.25">
      <c r="B50" s="88"/>
      <c r="C50" s="88"/>
      <c r="D50" s="88"/>
      <c r="E50" s="88"/>
      <c r="F50" s="137"/>
      <c r="G50" s="137"/>
      <c r="H50" s="137"/>
      <c r="I50" s="128"/>
      <c r="J50" s="128"/>
      <c r="K50" s="128"/>
      <c r="L50" s="128"/>
      <c r="M50" s="128"/>
      <c r="N50" s="128"/>
      <c r="O50" s="38"/>
      <c r="P50" s="38"/>
      <c r="Q50" s="38"/>
      <c r="R50" s="38"/>
      <c r="S50" s="38"/>
      <c r="T50" s="38"/>
      <c r="U50" s="33"/>
      <c r="V50" s="33"/>
      <c r="W50" s="33"/>
      <c r="X50" s="53">
        <f t="shared" si="0"/>
        <v>46</v>
      </c>
      <c r="Y50" s="50"/>
      <c r="Z50" s="38"/>
      <c r="AA50" s="38"/>
      <c r="AB50" s="53">
        <f t="shared" si="1"/>
        <v>46</v>
      </c>
      <c r="AC50" s="50">
        <f>IF(AB50&lt;=$F$16,IF($F$18=Лист2!$A$2,'Аннуитетное (с ндс)'!N56,IF('Калькулятор лизинга'!$F$18=Лист2!$A$3,Равномерное!N55,'Калькулятор лизинга'!Y50)),"")</f>
        <v>0</v>
      </c>
      <c r="AD50" s="38"/>
      <c r="AE50" s="38"/>
      <c r="AF50" s="38"/>
      <c r="AG50" s="53">
        <f t="shared" si="2"/>
        <v>46</v>
      </c>
      <c r="AH50" s="50">
        <f>IF(AG50&lt;=$O$16,IF($O$18=Лист2!$A$2,'Кредит аннуитет'!M55,'Кредит равномерное'!M55),"")</f>
        <v>116919.6058960112</v>
      </c>
      <c r="AI50" s="38"/>
    </row>
    <row r="51" spans="2:35" ht="15.75" x14ac:dyDescent="0.25">
      <c r="B51" s="46"/>
      <c r="C51" s="46"/>
      <c r="D51" s="46"/>
      <c r="E51" s="46"/>
      <c r="F51" s="41"/>
      <c r="G51" s="41"/>
      <c r="H51" s="41"/>
      <c r="I51" s="47"/>
      <c r="J51" s="47"/>
      <c r="K51" s="47"/>
      <c r="L51" s="47"/>
      <c r="M51" s="47"/>
      <c r="N51" s="47"/>
      <c r="O51" s="38"/>
      <c r="P51" s="38"/>
      <c r="Q51" s="38"/>
      <c r="R51" s="38"/>
      <c r="S51" s="38"/>
      <c r="T51" s="38"/>
      <c r="U51" s="33"/>
      <c r="V51" s="33"/>
      <c r="W51" s="33"/>
      <c r="X51" s="53">
        <f t="shared" si="0"/>
        <v>47</v>
      </c>
      <c r="Y51" s="50"/>
      <c r="Z51" s="38"/>
      <c r="AA51" s="38"/>
      <c r="AB51" s="53">
        <f t="shared" si="1"/>
        <v>47</v>
      </c>
      <c r="AC51" s="50">
        <f>IF(AB51&lt;=$F$16,IF($F$18=Лист2!$A$2,'Аннуитетное (с ндс)'!N57,IF('Калькулятор лизинга'!$F$18=Лист2!$A$3,Равномерное!N56,'Калькулятор лизинга'!Y51)),"")</f>
        <v>0</v>
      </c>
      <c r="AD51" s="38"/>
      <c r="AE51" s="38"/>
      <c r="AF51" s="38"/>
      <c r="AG51" s="53">
        <f t="shared" si="2"/>
        <v>47</v>
      </c>
      <c r="AH51" s="50">
        <f>IF(AG51&lt;=$O$16,IF($O$18=Лист2!$A$2,'Кредит аннуитет'!M56,'Кредит равномерное'!M56),"")</f>
        <v>116915.94553434281</v>
      </c>
      <c r="AI51" s="38"/>
    </row>
    <row r="52" spans="2:35" ht="27" customHeight="1" x14ac:dyDescent="0.25">
      <c r="B52" s="88" t="s">
        <v>137</v>
      </c>
      <c r="C52" s="88"/>
      <c r="D52" s="88"/>
      <c r="E52" s="88"/>
      <c r="F52" s="136" t="s">
        <v>70</v>
      </c>
      <c r="G52" s="136"/>
      <c r="H52" s="136"/>
      <c r="I52" s="155" t="str">
        <f>IF(F18=Лист2!A2,'Аннуитетное (с ндс)'!M11,"по графику")</f>
        <v>по графику</v>
      </c>
      <c r="J52" s="155"/>
      <c r="K52" s="155"/>
      <c r="L52" s="155">
        <f>IF(O18=Лист2!A2,'Кредит аннуитет'!L10,"по графику")</f>
        <v>116755</v>
      </c>
      <c r="M52" s="155"/>
      <c r="N52" s="155"/>
      <c r="O52" s="38"/>
      <c r="P52" s="38"/>
      <c r="Q52" s="38"/>
      <c r="R52" s="38"/>
      <c r="S52" s="38"/>
      <c r="T52" s="38"/>
      <c r="U52" s="33"/>
      <c r="V52" s="33"/>
      <c r="W52" s="33"/>
      <c r="X52" s="53">
        <f t="shared" si="0"/>
        <v>48</v>
      </c>
      <c r="Y52" s="50"/>
      <c r="Z52" s="38"/>
      <c r="AA52" s="38"/>
      <c r="AB52" s="53">
        <f t="shared" si="1"/>
        <v>48</v>
      </c>
      <c r="AC52" s="50">
        <f>IF(AB52&lt;=$F$16,IF($F$18=Лист2!$A$2,'Аннуитетное (с ндс)'!N58,IF('Калькулятор лизинга'!$F$18=Лист2!$A$3,Равномерное!N57,'Калькулятор лизинга'!Y52)),"")</f>
        <v>0</v>
      </c>
      <c r="AD52" s="38"/>
      <c r="AE52" s="38"/>
      <c r="AF52" s="38"/>
      <c r="AG52" s="53">
        <f t="shared" si="2"/>
        <v>48</v>
      </c>
      <c r="AH52" s="50">
        <f>IF(AG52&lt;=$O$16,IF($O$18=Лист2!$A$2,'Кредит аннуитет'!M57,'Кредит равномерное'!M57),"")</f>
        <v>116912.15021064162</v>
      </c>
      <c r="AI52" s="38"/>
    </row>
    <row r="53" spans="2:35" ht="15.75" x14ac:dyDescent="0.25">
      <c r="B53" s="88"/>
      <c r="C53" s="88"/>
      <c r="D53" s="88"/>
      <c r="E53" s="88"/>
      <c r="F53" s="136"/>
      <c r="G53" s="136"/>
      <c r="H53" s="136"/>
      <c r="I53" s="155"/>
      <c r="J53" s="155"/>
      <c r="K53" s="155"/>
      <c r="L53" s="155"/>
      <c r="M53" s="155"/>
      <c r="N53" s="155"/>
      <c r="O53" s="38"/>
      <c r="P53" s="38"/>
      <c r="Q53" s="38"/>
      <c r="R53" s="38"/>
      <c r="S53" s="38"/>
      <c r="T53" s="38"/>
      <c r="U53" s="33"/>
      <c r="V53" s="33"/>
      <c r="W53" s="33"/>
      <c r="X53" s="53">
        <f t="shared" si="0"/>
        <v>49</v>
      </c>
      <c r="Y53" s="50"/>
      <c r="Z53" s="38"/>
      <c r="AA53" s="38"/>
      <c r="AB53" s="53">
        <f t="shared" si="1"/>
        <v>49</v>
      </c>
      <c r="AC53" s="50">
        <f>IF(AB53&lt;=$F$16,IF($F$18=Лист2!$A$2,'Аннуитетное (с ндс)'!N59,IF('Калькулятор лизинга'!$F$18=Лист2!$A$3,Равномерное!N58,'Калькулятор лизинга'!Y53)),"")</f>
        <v>0</v>
      </c>
      <c r="AD53" s="38"/>
      <c r="AE53" s="38"/>
      <c r="AF53" s="38"/>
      <c r="AG53" s="53">
        <f t="shared" si="2"/>
        <v>49</v>
      </c>
      <c r="AH53" s="50">
        <f>IF(AG53&lt;=$O$16,IF($O$18=Лист2!$A$2,'Кредит аннуитет'!M58,'Кредит равномерное'!M58),"")</f>
        <v>116908.21494869162</v>
      </c>
      <c r="AI53" s="38"/>
    </row>
    <row r="54" spans="2:35" ht="15.75" customHeight="1" x14ac:dyDescent="0.25">
      <c r="B54" s="44"/>
      <c r="C54" s="44"/>
      <c r="D54" s="44"/>
      <c r="E54" s="44"/>
      <c r="F54" s="41"/>
      <c r="G54" s="41"/>
      <c r="H54" s="41"/>
      <c r="I54" s="47"/>
      <c r="J54" s="47"/>
      <c r="K54" s="47"/>
      <c r="L54" s="47"/>
      <c r="M54" s="47"/>
      <c r="N54" s="47"/>
      <c r="O54" s="38"/>
      <c r="P54" s="38"/>
      <c r="Q54" s="38"/>
      <c r="R54" s="38"/>
      <c r="S54" s="38"/>
      <c r="T54" s="38"/>
      <c r="U54" s="33"/>
      <c r="V54" s="33"/>
      <c r="W54" s="33"/>
      <c r="X54" s="53">
        <f t="shared" si="0"/>
        <v>50</v>
      </c>
      <c r="Y54" s="50"/>
      <c r="Z54" s="38"/>
      <c r="AA54" s="38"/>
      <c r="AB54" s="53">
        <f t="shared" si="1"/>
        <v>50</v>
      </c>
      <c r="AC54" s="50">
        <f>IF(AB54&lt;=$F$16,IF($F$18=Лист2!$A$2,'Аннуитетное (с ндс)'!N60,IF('Калькулятор лизинга'!$F$18=Лист2!$A$3,Равномерное!N59,'Калькулятор лизинга'!Y54)),"")</f>
        <v>0</v>
      </c>
      <c r="AD54" s="38"/>
      <c r="AE54" s="38"/>
      <c r="AF54" s="38"/>
      <c r="AG54" s="53">
        <f t="shared" si="2"/>
        <v>50</v>
      </c>
      <c r="AH54" s="50">
        <f>IF(AG54&lt;=$O$16,IF($O$18=Лист2!$A$2,'Кредит аннуитет'!M59,'Кредит равномерное'!M59),"")</f>
        <v>116904.13458879758</v>
      </c>
      <c r="AI54" s="38"/>
    </row>
    <row r="55" spans="2:35" ht="15.75" x14ac:dyDescent="0.25">
      <c r="B55" s="88" t="s">
        <v>125</v>
      </c>
      <c r="C55" s="88"/>
      <c r="D55" s="88"/>
      <c r="E55" s="88"/>
      <c r="F55" s="137" t="s">
        <v>61</v>
      </c>
      <c r="G55" s="137"/>
      <c r="H55" s="137"/>
      <c r="I55" s="127" t="str">
        <f>IF(F18=Лист2!A2,'Аннуитетное (с ндс)'!D16,IF(F18=Лист2!A3,Равномерное!D15,""))</f>
        <v/>
      </c>
      <c r="J55" s="127"/>
      <c r="K55" s="127"/>
      <c r="L55" s="127">
        <f>IF(O18=Лист2!A2,'Кредит аннуитет'!D16,'Кредит равномерное'!D16)</f>
        <v>0.44245474642356786</v>
      </c>
      <c r="M55" s="127"/>
      <c r="N55" s="127"/>
      <c r="O55" s="38"/>
      <c r="P55" s="38"/>
      <c r="Q55" s="38"/>
      <c r="R55" s="38"/>
      <c r="S55" s="38"/>
      <c r="T55" s="38"/>
      <c r="U55" s="33"/>
      <c r="V55" s="33"/>
      <c r="W55" s="33"/>
      <c r="X55" s="53">
        <f t="shared" si="0"/>
        <v>51</v>
      </c>
      <c r="Y55" s="50"/>
      <c r="Z55" s="38"/>
      <c r="AA55" s="38"/>
      <c r="AB55" s="53">
        <f t="shared" si="1"/>
        <v>51</v>
      </c>
      <c r="AC55" s="50">
        <f>IF(AB55&lt;=$F$16,IF($F$18=Лист2!$A$2,'Аннуитетное (с ндс)'!N61,IF('Калькулятор лизинга'!$F$18=Лист2!$A$3,Равномерное!N60,'Калькулятор лизинга'!Y55)),"")</f>
        <v>0</v>
      </c>
      <c r="AD55" s="38"/>
      <c r="AE55" s="38"/>
      <c r="AF55" s="38"/>
      <c r="AG55" s="53">
        <f t="shared" si="2"/>
        <v>51</v>
      </c>
      <c r="AH55" s="50">
        <f>IF(AG55&lt;=$O$16,IF($O$18=Лист2!$A$2,'Кредит аннуитет'!M60,'Кредит равномерное'!M60),"")</f>
        <v>116899.90378102004</v>
      </c>
      <c r="AI55" s="38"/>
    </row>
    <row r="56" spans="2:35" ht="15.75" x14ac:dyDescent="0.25">
      <c r="B56" s="88"/>
      <c r="C56" s="88"/>
      <c r="D56" s="88"/>
      <c r="E56" s="88"/>
      <c r="F56" s="137"/>
      <c r="G56" s="137"/>
      <c r="H56" s="137"/>
      <c r="I56" s="127"/>
      <c r="J56" s="127"/>
      <c r="K56" s="127"/>
      <c r="L56" s="127"/>
      <c r="M56" s="127"/>
      <c r="N56" s="127"/>
      <c r="O56" s="38"/>
      <c r="P56" s="38"/>
      <c r="Q56" s="38"/>
      <c r="R56" s="38"/>
      <c r="S56" s="38"/>
      <c r="T56" s="38"/>
      <c r="U56" s="33"/>
      <c r="V56" s="33"/>
      <c r="W56" s="33"/>
      <c r="X56" s="53">
        <f t="shared" si="0"/>
        <v>52</v>
      </c>
      <c r="Y56" s="50"/>
      <c r="Z56" s="38"/>
      <c r="AA56" s="38"/>
      <c r="AB56" s="53">
        <f t="shared" si="1"/>
        <v>52</v>
      </c>
      <c r="AC56" s="50">
        <f>IF(AB56&lt;=$F$16,IF($F$18=Лист2!$A$2,'Аннуитетное (с ндс)'!N62,IF('Калькулятор лизинга'!$F$18=Лист2!$A$3,Равномерное!N61,'Калькулятор лизинга'!Y56)),"")</f>
        <v>0</v>
      </c>
      <c r="AD56" s="38"/>
      <c r="AE56" s="38"/>
      <c r="AF56" s="38"/>
      <c r="AG56" s="53">
        <f t="shared" si="2"/>
        <v>52</v>
      </c>
      <c r="AH56" s="50">
        <f>IF(AG56&lt;=$O$16,IF($O$18=Лист2!$A$2,'Кредит аннуитет'!M61,'Кредит равномерное'!M61),"")</f>
        <v>116895.51697816062</v>
      </c>
      <c r="AI56" s="38"/>
    </row>
    <row r="57" spans="2:35" ht="15.75" customHeight="1" x14ac:dyDescent="0.25">
      <c r="B57" s="46"/>
      <c r="C57" s="46"/>
      <c r="D57" s="46"/>
      <c r="E57" s="46"/>
      <c r="F57" s="41"/>
      <c r="G57" s="41"/>
      <c r="H57" s="41"/>
      <c r="I57" s="48"/>
      <c r="J57" s="48"/>
      <c r="K57" s="48"/>
      <c r="L57" s="48"/>
      <c r="M57" s="48"/>
      <c r="N57" s="48"/>
      <c r="O57" s="38"/>
      <c r="P57" s="38"/>
      <c r="Q57" s="38"/>
      <c r="R57" s="38"/>
      <c r="S57" s="38"/>
      <c r="T57" s="38"/>
      <c r="U57" s="33"/>
      <c r="V57" s="33"/>
      <c r="W57" s="33"/>
      <c r="X57" s="53">
        <f t="shared" si="0"/>
        <v>53</v>
      </c>
      <c r="Y57" s="50"/>
      <c r="Z57" s="38"/>
      <c r="AA57" s="38"/>
      <c r="AB57" s="53">
        <f t="shared" si="1"/>
        <v>53</v>
      </c>
      <c r="AC57" s="50">
        <f>IF(AB57&lt;=$F$16,IF($F$18=Лист2!$A$2,'Аннуитетное (с ндс)'!N63,IF('Калькулятор лизинга'!$F$18=Лист2!$A$3,Равномерное!N62,'Калькулятор лизинга'!Y57)),"")</f>
        <v>0</v>
      </c>
      <c r="AD57" s="38"/>
      <c r="AE57" s="38"/>
      <c r="AF57" s="38"/>
      <c r="AG57" s="53">
        <f t="shared" si="2"/>
        <v>53</v>
      </c>
      <c r="AH57" s="50">
        <f>IF(AG57&lt;=$O$16,IF($O$18=Лист2!$A$2,'Кредит аннуитет'!M62,'Кредит равномерное'!M62),"")</f>
        <v>116890.96842848897</v>
      </c>
      <c r="AI57" s="38"/>
    </row>
    <row r="58" spans="2:35" ht="15.75" x14ac:dyDescent="0.25">
      <c r="B58" s="88" t="s">
        <v>89</v>
      </c>
      <c r="C58" s="88"/>
      <c r="D58" s="88"/>
      <c r="E58" s="88"/>
      <c r="F58" s="136" t="s">
        <v>62</v>
      </c>
      <c r="G58" s="136"/>
      <c r="H58" s="136"/>
      <c r="I58" s="138">
        <f>(I36-K5)/K5/F16*12</f>
        <v>-3.9061256961018295E-2</v>
      </c>
      <c r="J58" s="138"/>
      <c r="K58" s="138"/>
      <c r="L58" s="138">
        <f>(L36-K5)/K5/O16*12</f>
        <v>0.21820725697060639</v>
      </c>
      <c r="M58" s="138"/>
      <c r="N58" s="138"/>
      <c r="O58" s="38"/>
      <c r="P58" s="38"/>
      <c r="Q58" s="38"/>
      <c r="R58" s="38"/>
      <c r="S58" s="38"/>
      <c r="T58" s="38"/>
      <c r="U58" s="33"/>
      <c r="V58" s="33"/>
      <c r="W58" s="33"/>
      <c r="X58" s="53">
        <f t="shared" si="0"/>
        <v>54</v>
      </c>
      <c r="Y58" s="50"/>
      <c r="Z58" s="38"/>
      <c r="AA58" s="38"/>
      <c r="AB58" s="53">
        <f t="shared" si="1"/>
        <v>54</v>
      </c>
      <c r="AC58" s="50">
        <f>IF(AB58&lt;=$F$16,IF($F$18=Лист2!$A$2,'Аннуитетное (с ндс)'!N64,IF('Калькулятор лизинга'!$F$18=Лист2!$A$3,Равномерное!N63,'Калькулятор лизинга'!Y58)),"")</f>
        <v>0</v>
      </c>
      <c r="AD58" s="38"/>
      <c r="AE58" s="38"/>
      <c r="AF58" s="38"/>
      <c r="AG58" s="53">
        <f t="shared" si="2"/>
        <v>54</v>
      </c>
      <c r="AH58" s="50">
        <f>IF(AG58&lt;=$O$16,IF($O$18=Лист2!$A$2,'Кредит аннуитет'!M63,'Кредит равномерное'!M63),"")</f>
        <v>116886.25216820136</v>
      </c>
      <c r="AI58" s="38"/>
    </row>
    <row r="59" spans="2:35" ht="15.75" x14ac:dyDescent="0.25">
      <c r="B59" s="88"/>
      <c r="C59" s="88"/>
      <c r="D59" s="88"/>
      <c r="E59" s="88"/>
      <c r="F59" s="136"/>
      <c r="G59" s="136"/>
      <c r="H59" s="136"/>
      <c r="I59" s="138"/>
      <c r="J59" s="138"/>
      <c r="K59" s="138"/>
      <c r="L59" s="138"/>
      <c r="M59" s="138"/>
      <c r="N59" s="138"/>
      <c r="O59" s="38"/>
      <c r="P59" s="38"/>
      <c r="Q59" s="38"/>
      <c r="R59" s="38"/>
      <c r="S59" s="38"/>
      <c r="T59" s="38"/>
      <c r="U59" s="33"/>
      <c r="V59" s="33"/>
      <c r="W59" s="33"/>
      <c r="X59" s="53">
        <f t="shared" si="0"/>
        <v>55</v>
      </c>
      <c r="Y59" s="50"/>
      <c r="Z59" s="38"/>
      <c r="AA59" s="38"/>
      <c r="AB59" s="53">
        <f t="shared" si="1"/>
        <v>55</v>
      </c>
      <c r="AC59" s="50">
        <f>IF(AB59&lt;=$F$16,IF($F$18=Лист2!$A$2,'Аннуитетное (с ндс)'!N65,IF('Калькулятор лизинга'!$F$18=Лист2!$A$3,Равномерное!N64,'Калькулятор лизинга'!Y59)),"")</f>
        <v>0</v>
      </c>
      <c r="AD59" s="38"/>
      <c r="AE59" s="38"/>
      <c r="AF59" s="38"/>
      <c r="AG59" s="53">
        <f t="shared" si="2"/>
        <v>55</v>
      </c>
      <c r="AH59" s="50">
        <f>IF(AG59&lt;=$O$16,IF($O$18=Лист2!$A$2,'Кредит аннуитет'!M64,'Кредит равномерное'!M64),"")</f>
        <v>116881.36201360129</v>
      </c>
      <c r="AI59" s="38"/>
    </row>
    <row r="60" spans="2:35" ht="15.75" customHeight="1" x14ac:dyDescent="0.25">
      <c r="B60" s="46"/>
      <c r="C60" s="46"/>
      <c r="D60" s="46"/>
      <c r="E60" s="46"/>
      <c r="F60" s="41"/>
      <c r="G60" s="41"/>
      <c r="H60" s="41"/>
      <c r="I60" s="48"/>
      <c r="J60" s="48"/>
      <c r="K60" s="48"/>
      <c r="L60" s="48"/>
      <c r="M60" s="48"/>
      <c r="N60" s="48"/>
      <c r="O60" s="38"/>
      <c r="P60" s="38"/>
      <c r="Q60" s="38"/>
      <c r="R60" s="38"/>
      <c r="S60" s="38"/>
      <c r="T60" s="38"/>
      <c r="U60" s="33"/>
      <c r="V60" s="33"/>
      <c r="W60" s="33"/>
      <c r="X60" s="53">
        <f t="shared" si="0"/>
        <v>56</v>
      </c>
      <c r="Y60" s="50"/>
      <c r="Z60" s="38"/>
      <c r="AA60" s="38"/>
      <c r="AB60" s="53">
        <f t="shared" si="1"/>
        <v>56</v>
      </c>
      <c r="AC60" s="50">
        <f>IF(AB60&lt;=$F$16,IF($F$18=Лист2!$A$2,'Аннуитетное (с ндс)'!N66,IF('Калькулятор лизинга'!$F$18=Лист2!$A$3,Равномерное!N65,'Калькулятор лизинга'!Y60)),"")</f>
        <v>0</v>
      </c>
      <c r="AD60" s="38"/>
      <c r="AE60" s="38"/>
      <c r="AF60" s="38"/>
      <c r="AG60" s="53">
        <f t="shared" si="2"/>
        <v>56</v>
      </c>
      <c r="AH60" s="50">
        <f>IF(AG60&lt;=$O$16,IF($O$18=Лист2!$A$2,'Кредит аннуитет'!M65,'Кредит равномерное'!M65),"")</f>
        <v>116876.29155299175</v>
      </c>
      <c r="AI60" s="38"/>
    </row>
    <row r="61" spans="2:35" ht="15.75" x14ac:dyDescent="0.25">
      <c r="B61" s="88" t="s">
        <v>134</v>
      </c>
      <c r="C61" s="88"/>
      <c r="D61" s="88"/>
      <c r="E61" s="88"/>
      <c r="F61" s="137" t="s">
        <v>96</v>
      </c>
      <c r="G61" s="137"/>
      <c r="H61" s="137"/>
      <c r="I61" s="127">
        <f>IF(F18=Лист2!A2,'Аннуитетное (с ндс)'!N3,IF(F18=Лист2!A3,Равномерное!N3,Персональный!C2))</f>
        <v>-0.21917076781392103</v>
      </c>
      <c r="J61" s="127"/>
      <c r="K61" s="127"/>
      <c r="L61" s="127">
        <f>IF(O18=Лист2!A2,'Кредит аннуитет'!M3,'Кредит равномерное'!M3)</f>
        <v>0.54542704224586491</v>
      </c>
      <c r="M61" s="127"/>
      <c r="N61" s="127"/>
      <c r="O61" s="88" t="s">
        <v>145</v>
      </c>
      <c r="P61" s="88"/>
      <c r="Q61" s="88"/>
      <c r="R61" s="88"/>
      <c r="S61" s="88"/>
      <c r="T61" s="88"/>
      <c r="U61" s="88"/>
      <c r="V61" s="33"/>
      <c r="W61" s="33"/>
      <c r="X61" s="53">
        <f t="shared" si="0"/>
        <v>57</v>
      </c>
      <c r="Y61" s="51"/>
      <c r="Z61" s="38"/>
      <c r="AA61" s="38"/>
      <c r="AB61" s="53">
        <f t="shared" si="1"/>
        <v>57</v>
      </c>
      <c r="AC61" s="50">
        <f>IF(AB61&lt;=$F$16,IF($F$18=Лист2!$A$2,'Аннуитетное (с ндс)'!N67,IF('Калькулятор лизинга'!$F$18=Лист2!$A$3,Равномерное!N66,'Калькулятор лизинга'!Y61)),"")</f>
        <v>0</v>
      </c>
      <c r="AD61" s="38"/>
      <c r="AE61" s="38"/>
      <c r="AF61" s="38"/>
      <c r="AG61" s="53">
        <f t="shared" si="2"/>
        <v>57</v>
      </c>
      <c r="AH61" s="50">
        <f>IF(AG61&lt;=$O$16,IF($O$18=Лист2!$A$2,'Кредит аннуитет'!M66,'Кредит равномерное'!M66),"")</f>
        <v>116871.0341382686</v>
      </c>
      <c r="AI61" s="38"/>
    </row>
    <row r="62" spans="2:35" ht="15.75" x14ac:dyDescent="0.25">
      <c r="B62" s="88"/>
      <c r="C62" s="88"/>
      <c r="D62" s="88"/>
      <c r="E62" s="88"/>
      <c r="F62" s="137"/>
      <c r="G62" s="137"/>
      <c r="H62" s="137"/>
      <c r="I62" s="127"/>
      <c r="J62" s="127"/>
      <c r="K62" s="127"/>
      <c r="L62" s="127"/>
      <c r="M62" s="127"/>
      <c r="N62" s="127"/>
      <c r="O62" s="88"/>
      <c r="P62" s="88"/>
      <c r="Q62" s="88"/>
      <c r="R62" s="88"/>
      <c r="S62" s="88"/>
      <c r="T62" s="88"/>
      <c r="U62" s="88"/>
      <c r="V62" s="33"/>
      <c r="W62" s="33"/>
      <c r="X62" s="53">
        <f t="shared" si="0"/>
        <v>58</v>
      </c>
      <c r="Y62" s="51"/>
      <c r="Z62" s="38"/>
      <c r="AA62" s="38"/>
      <c r="AB62" s="53">
        <f t="shared" si="1"/>
        <v>58</v>
      </c>
      <c r="AC62" s="50">
        <f>IF(AB62&lt;=$F$16,IF($F$18=Лист2!$A$2,'Аннуитетное (с ндс)'!N68,IF('Калькулятор лизинга'!$F$18=Лист2!$A$3,Равномерное!N67,'Калькулятор лизинга'!Y62)),"")</f>
        <v>0</v>
      </c>
      <c r="AD62" s="38"/>
      <c r="AE62" s="38"/>
      <c r="AF62" s="38"/>
      <c r="AG62" s="53">
        <f t="shared" si="2"/>
        <v>58</v>
      </c>
      <c r="AH62" s="50">
        <f>IF(AG62&lt;=$O$16,IF($O$18=Лист2!$A$2,'Кредит аннуитет'!M67,'Кредит равномерное'!M67),"")</f>
        <v>116865.58287620395</v>
      </c>
      <c r="AI62" s="38"/>
    </row>
    <row r="63" spans="2:35" ht="15.75" customHeight="1" x14ac:dyDescent="0.25">
      <c r="B63" s="88"/>
      <c r="C63" s="88"/>
      <c r="D63" s="88"/>
      <c r="E63" s="88"/>
      <c r="F63" s="137"/>
      <c r="G63" s="137"/>
      <c r="H63" s="137"/>
      <c r="I63" s="127"/>
      <c r="J63" s="127"/>
      <c r="K63" s="127"/>
      <c r="L63" s="127"/>
      <c r="M63" s="127"/>
      <c r="N63" s="127"/>
      <c r="O63" s="88"/>
      <c r="P63" s="88"/>
      <c r="Q63" s="88"/>
      <c r="R63" s="88"/>
      <c r="S63" s="88"/>
      <c r="T63" s="88"/>
      <c r="U63" s="88"/>
      <c r="V63" s="33"/>
      <c r="W63" s="33"/>
      <c r="X63" s="53">
        <f t="shared" si="0"/>
        <v>59</v>
      </c>
      <c r="Y63" s="51"/>
      <c r="Z63" s="38"/>
      <c r="AA63" s="38"/>
      <c r="AB63" s="53">
        <f t="shared" si="1"/>
        <v>59</v>
      </c>
      <c r="AC63" s="50">
        <f>IF(AB63&lt;=$F$16,IF($F$18=Лист2!$A$2,'Аннуитетное (с ндс)'!N69,IF('Калькулятор лизинга'!$F$18=Лист2!$A$3,Равномерное!N68,'Калькулятор лизинга'!Y63)),"")</f>
        <v>0</v>
      </c>
      <c r="AD63" s="38"/>
      <c r="AE63" s="38"/>
      <c r="AF63" s="38"/>
      <c r="AG63" s="53">
        <f t="shared" si="2"/>
        <v>59</v>
      </c>
      <c r="AH63" s="50">
        <f>IF(AG63&lt;=$O$16,IF($O$18=Лист2!$A$2,'Кредит аннуитет'!M68,'Кредит равномерное'!M68),"")</f>
        <v>116859.93061940809</v>
      </c>
      <c r="AI63" s="38"/>
    </row>
    <row r="64" spans="2:35" ht="15.75" x14ac:dyDescent="0.25">
      <c r="B64" s="44"/>
      <c r="C64" s="44"/>
      <c r="D64" s="44"/>
      <c r="E64" s="44"/>
      <c r="F64" s="41"/>
      <c r="G64" s="41"/>
      <c r="H64" s="41"/>
      <c r="I64" s="48"/>
      <c r="J64" s="48"/>
      <c r="K64" s="48"/>
      <c r="L64" s="48"/>
      <c r="M64" s="48"/>
      <c r="N64" s="48"/>
      <c r="O64" s="88"/>
      <c r="P64" s="88"/>
      <c r="Q64" s="88"/>
      <c r="R64" s="88"/>
      <c r="S64" s="88"/>
      <c r="T64" s="88"/>
      <c r="U64" s="88"/>
      <c r="V64" s="33"/>
      <c r="W64" s="33"/>
      <c r="X64" s="53">
        <f t="shared" si="0"/>
        <v>60</v>
      </c>
      <c r="Y64" s="51"/>
      <c r="Z64" s="38"/>
      <c r="AA64" s="38"/>
      <c r="AB64" s="53">
        <f t="shared" si="1"/>
        <v>60</v>
      </c>
      <c r="AC64" s="50">
        <f>IF(AB64&lt;=$F$16,IF($F$18=Лист2!$A$2,'Аннуитетное (с ндс)'!N70,IF('Калькулятор лизинга'!$F$18=Лист2!$A$3,Равномерное!N69,'Калькулятор лизинга'!Y64)),"")</f>
        <v>0</v>
      </c>
      <c r="AD64" s="38"/>
      <c r="AE64" s="38"/>
      <c r="AF64" s="38"/>
      <c r="AG64" s="53">
        <f t="shared" si="2"/>
        <v>60</v>
      </c>
      <c r="AH64" s="50">
        <f>IF(AG64&lt;=$O$16,IF($O$18=Лист2!$A$2,'Кредит аннуитет'!M69,'Кредит равномерное'!M69),"")</f>
        <v>116854.06995695826</v>
      </c>
      <c r="AI64" s="38"/>
    </row>
    <row r="65" spans="2:35" ht="15.75" customHeight="1" x14ac:dyDescent="0.25">
      <c r="B65" s="88" t="s">
        <v>90</v>
      </c>
      <c r="C65" s="88"/>
      <c r="D65" s="88"/>
      <c r="E65" s="88"/>
      <c r="F65" s="136" t="s">
        <v>91</v>
      </c>
      <c r="G65" s="136"/>
      <c r="H65" s="136"/>
      <c r="I65" s="138">
        <f>IF(F18=Лист2!A2,'Аннуитетное (с ндс)'!R3,IF(F18=Лист2!A3,Равномерное!R3,Персональный!E2))</f>
        <v>-0.3212141625583172</v>
      </c>
      <c r="J65" s="138"/>
      <c r="K65" s="138"/>
      <c r="L65" s="138">
        <f>IF(O18=Лист2!A2,'Кредит аннуитет'!V3,'Кредит равномерное'!U3)</f>
        <v>0.39145082831382749</v>
      </c>
      <c r="M65" s="138"/>
      <c r="N65" s="138"/>
      <c r="O65" s="88" t="s">
        <v>145</v>
      </c>
      <c r="P65" s="88"/>
      <c r="Q65" s="88"/>
      <c r="R65" s="88"/>
      <c r="S65" s="88"/>
      <c r="T65" s="88"/>
      <c r="U65" s="88"/>
      <c r="V65" s="33"/>
      <c r="W65" s="33"/>
      <c r="X65" s="53">
        <f t="shared" si="0"/>
        <v>61</v>
      </c>
      <c r="Y65" s="51"/>
      <c r="Z65" s="38"/>
      <c r="AA65" s="38"/>
      <c r="AB65" s="53">
        <f t="shared" si="1"/>
        <v>61</v>
      </c>
      <c r="AC65" s="50">
        <f>IF(AB65&lt;=$F$16,IF($F$18=Лист2!$A$2,'Аннуитетное (с ндс)'!N71,IF('Калькулятор лизинга'!$F$18=Лист2!$A$3,Равномерное!N70,'Калькулятор лизинга'!Y65)),"")</f>
        <v>0</v>
      </c>
      <c r="AD65" s="38"/>
      <c r="AE65" s="38"/>
      <c r="AF65" s="38"/>
      <c r="AG65" s="53">
        <f t="shared" si="2"/>
        <v>61</v>
      </c>
      <c r="AH65" s="50">
        <f>IF(AG65&lt;=$O$16,IF($O$18=Лист2!$A$2,'Кредит аннуитет'!M70,'Кредит равномерное'!M70),"")</f>
        <v>116847.99320468196</v>
      </c>
      <c r="AI65" s="38"/>
    </row>
    <row r="66" spans="2:35" ht="15.75" x14ac:dyDescent="0.25">
      <c r="B66" s="88"/>
      <c r="C66" s="88"/>
      <c r="D66" s="88"/>
      <c r="E66" s="88"/>
      <c r="F66" s="136"/>
      <c r="G66" s="136"/>
      <c r="H66" s="136"/>
      <c r="I66" s="138"/>
      <c r="J66" s="138"/>
      <c r="K66" s="138"/>
      <c r="L66" s="138"/>
      <c r="M66" s="138"/>
      <c r="N66" s="138"/>
      <c r="O66" s="88"/>
      <c r="P66" s="88"/>
      <c r="Q66" s="88"/>
      <c r="R66" s="88"/>
      <c r="S66" s="88"/>
      <c r="T66" s="88"/>
      <c r="U66" s="88"/>
      <c r="V66" s="33"/>
      <c r="W66" s="33"/>
      <c r="X66" s="53">
        <f t="shared" si="0"/>
        <v>62</v>
      </c>
      <c r="Y66" s="51"/>
      <c r="Z66" s="38"/>
      <c r="AA66" s="38"/>
      <c r="AB66" s="53">
        <f t="shared" si="1"/>
        <v>62</v>
      </c>
      <c r="AC66" s="50">
        <f>IF(AB66&lt;=$F$16,IF($F$18=Лист2!$A$2,'Аннуитетное (с ндс)'!N72,IF('Калькулятор лизинга'!$F$18=Лист2!$A$3,Равномерное!N71,'Калькулятор лизинга'!Y66)),"")</f>
        <v>0</v>
      </c>
      <c r="AD66" s="38"/>
      <c r="AE66" s="38"/>
      <c r="AF66" s="38"/>
      <c r="AG66" s="53">
        <f t="shared" si="2"/>
        <v>62</v>
      </c>
      <c r="AH66" s="50">
        <f>IF(AG66&lt;=$O$16,IF($O$18=Лист2!$A$2,'Кредит аннуитет'!M71,'Кредит равномерное'!M71),"")</f>
        <v>116841.69239508167</v>
      </c>
      <c r="AI66" s="38"/>
    </row>
    <row r="67" spans="2:35" ht="15.75" customHeight="1" x14ac:dyDescent="0.25">
      <c r="B67" s="88"/>
      <c r="C67" s="88"/>
      <c r="D67" s="88"/>
      <c r="E67" s="88"/>
      <c r="F67" s="136"/>
      <c r="G67" s="136"/>
      <c r="H67" s="136"/>
      <c r="I67" s="138"/>
      <c r="J67" s="138"/>
      <c r="K67" s="138"/>
      <c r="L67" s="138"/>
      <c r="M67" s="138"/>
      <c r="N67" s="138"/>
      <c r="O67" s="88"/>
      <c r="P67" s="88"/>
      <c r="Q67" s="88"/>
      <c r="R67" s="88"/>
      <c r="S67" s="88"/>
      <c r="T67" s="88"/>
      <c r="U67" s="88"/>
      <c r="V67" s="33"/>
      <c r="W67" s="33"/>
      <c r="X67" s="53">
        <f t="shared" si="0"/>
        <v>63</v>
      </c>
      <c r="Y67" s="51"/>
      <c r="Z67" s="38"/>
      <c r="AA67" s="38"/>
      <c r="AB67" s="53">
        <f t="shared" si="1"/>
        <v>63</v>
      </c>
      <c r="AC67" s="50">
        <f>IF(AB67&lt;=$F$16,IF($F$18=Лист2!$A$2,'Аннуитетное (с ндс)'!N73,IF('Калькулятор лизинга'!$F$18=Лист2!$A$3,Равномерное!N72,'Калькулятор лизинга'!Y67)),"")</f>
        <v>0</v>
      </c>
      <c r="AD67" s="38"/>
      <c r="AE67" s="38"/>
      <c r="AF67" s="38"/>
      <c r="AG67" s="53">
        <f t="shared" si="2"/>
        <v>63</v>
      </c>
      <c r="AH67" s="50">
        <f>IF(AG67&lt;=$O$16,IF($O$18=Лист2!$A$2,'Кредит аннуитет'!M72,'Кредит равномерное'!M72),"")</f>
        <v>116835.15926688857</v>
      </c>
      <c r="AI67" s="38"/>
    </row>
    <row r="68" spans="2:35" ht="15.75" x14ac:dyDescent="0.25">
      <c r="B68" s="46"/>
      <c r="C68" s="46"/>
      <c r="D68" s="46"/>
      <c r="E68" s="46"/>
      <c r="F68" s="41"/>
      <c r="G68" s="41"/>
      <c r="H68" s="41"/>
      <c r="I68" s="48"/>
      <c r="J68" s="48"/>
      <c r="K68" s="48"/>
      <c r="L68" s="48"/>
      <c r="M68" s="48"/>
      <c r="N68" s="48"/>
      <c r="O68" s="88"/>
      <c r="P68" s="88"/>
      <c r="Q68" s="88"/>
      <c r="R68" s="88"/>
      <c r="S68" s="88"/>
      <c r="T68" s="88"/>
      <c r="U68" s="88"/>
      <c r="V68" s="33"/>
      <c r="W68" s="33"/>
      <c r="X68" s="53">
        <f t="shared" si="0"/>
        <v>64</v>
      </c>
      <c r="Y68" s="51"/>
      <c r="Z68" s="51"/>
      <c r="AA68" s="51"/>
      <c r="AB68" s="53">
        <f t="shared" si="1"/>
        <v>64</v>
      </c>
      <c r="AC68" s="50">
        <f>IF(AB68&lt;=$F$16,IF($F$18=Лист2!$A$2,'Аннуитетное (с ндс)'!N74,IF('Калькулятор лизинга'!$F$18=Лист2!$A$3,Равномерное!N73,'Калькулятор лизинга'!Y68)),"")</f>
        <v>0</v>
      </c>
      <c r="AD68" s="51"/>
      <c r="AE68" s="51"/>
      <c r="AF68" s="51"/>
      <c r="AG68" s="53">
        <f t="shared" si="2"/>
        <v>64</v>
      </c>
      <c r="AH68" s="50">
        <f>IF(AG68&lt;=$O$16,IF($O$18=Лист2!$A$2,'Кредит аннуитет'!M73,'Кредит равномерное'!M73),"")</f>
        <v>116828.38525423063</v>
      </c>
      <c r="AI68" s="38"/>
    </row>
    <row r="69" spans="2:35" ht="15.75" customHeight="1" x14ac:dyDescent="0.25">
      <c r="B69" s="88" t="s">
        <v>93</v>
      </c>
      <c r="C69" s="88"/>
      <c r="D69" s="88"/>
      <c r="E69" s="88"/>
      <c r="F69" s="137" t="s">
        <v>92</v>
      </c>
      <c r="G69" s="137"/>
      <c r="H69" s="137"/>
      <c r="I69" s="139">
        <f>IF(F18=Лист2!A2,'Аннуитетное (с ндс)'!V3,IF(F18=Лист2!A3,Равномерное!V3,Персональный!G2))</f>
        <v>-0.37471067383885392</v>
      </c>
      <c r="J69" s="139"/>
      <c r="K69" s="139"/>
      <c r="L69" s="139">
        <f>IF(O18=Лист2!A2,'Кредит аннуитет'!AA3,'Кредит равномерное'!Z3)</f>
        <v>0.23408146500587465</v>
      </c>
      <c r="M69" s="139"/>
      <c r="N69" s="139"/>
      <c r="O69" s="88" t="s">
        <v>146</v>
      </c>
      <c r="P69" s="88"/>
      <c r="Q69" s="88"/>
      <c r="R69" s="88"/>
      <c r="S69" s="88"/>
      <c r="T69" s="88"/>
      <c r="U69" s="88"/>
      <c r="V69" s="33"/>
      <c r="W69" s="33"/>
      <c r="X69" s="53">
        <f t="shared" si="0"/>
        <v>65</v>
      </c>
      <c r="Y69" s="51"/>
      <c r="Z69" s="51"/>
      <c r="AA69" s="51"/>
      <c r="AB69" s="53">
        <f t="shared" si="1"/>
        <v>65</v>
      </c>
      <c r="AC69" s="50">
        <f>IF(AB69&lt;=$F$16,IF($F$18=Лист2!$A$2,'Аннуитетное (с ндс)'!N75,IF('Калькулятор лизинга'!$F$18=Лист2!$A$3,Равномерное!N74,'Калькулятор лизинга'!Y69)),"")</f>
        <v>0</v>
      </c>
      <c r="AD69" s="51"/>
      <c r="AE69" s="51"/>
      <c r="AF69" s="51"/>
      <c r="AG69" s="53">
        <f t="shared" si="2"/>
        <v>65</v>
      </c>
      <c r="AH69" s="50">
        <f>IF(AG69&lt;=$O$16,IF($O$18=Лист2!$A$2,'Кредит аннуитет'!M74,'Кредит равномерное'!M74),"")</f>
        <v>116821.36147540162</v>
      </c>
      <c r="AI69" s="38"/>
    </row>
    <row r="70" spans="2:35" ht="15.75" x14ac:dyDescent="0.25">
      <c r="B70" s="88"/>
      <c r="C70" s="88"/>
      <c r="D70" s="88"/>
      <c r="E70" s="88"/>
      <c r="F70" s="137"/>
      <c r="G70" s="137"/>
      <c r="H70" s="137"/>
      <c r="I70" s="139"/>
      <c r="J70" s="139"/>
      <c r="K70" s="139"/>
      <c r="L70" s="139"/>
      <c r="M70" s="139"/>
      <c r="N70" s="139"/>
      <c r="O70" s="88"/>
      <c r="P70" s="88"/>
      <c r="Q70" s="88"/>
      <c r="R70" s="88"/>
      <c r="S70" s="88"/>
      <c r="T70" s="88"/>
      <c r="U70" s="88"/>
      <c r="V70" s="33"/>
      <c r="W70" s="33"/>
      <c r="X70" s="53">
        <f t="shared" si="0"/>
        <v>66</v>
      </c>
      <c r="Y70" s="51"/>
      <c r="Z70" s="51"/>
      <c r="AA70" s="51"/>
      <c r="AB70" s="53">
        <f t="shared" si="1"/>
        <v>66</v>
      </c>
      <c r="AC70" s="50">
        <f>IF(AB70&lt;=$F$16,IF($F$18=Лист2!$A$2,'Аннуитетное (с ндс)'!N76,IF('Калькулятор лизинга'!$F$18=Лист2!$A$3,Равномерное!N75,'Калькулятор лизинга'!Y70)),"")</f>
        <v>0</v>
      </c>
      <c r="AD70" s="51"/>
      <c r="AE70" s="51"/>
      <c r="AF70" s="51"/>
      <c r="AG70" s="53">
        <f t="shared" si="2"/>
        <v>66</v>
      </c>
      <c r="AH70" s="50">
        <f>IF(AG70&lt;=$O$16,IF($O$18=Лист2!$A$2,'Кредит аннуитет'!M75,'Кредит равномерное'!M75),"")</f>
        <v>116814.07872121588</v>
      </c>
      <c r="AI70" s="38"/>
    </row>
    <row r="71" spans="2:35" ht="15.75" customHeight="1" x14ac:dyDescent="0.25">
      <c r="B71" s="88"/>
      <c r="C71" s="88"/>
      <c r="D71" s="88"/>
      <c r="E71" s="88"/>
      <c r="F71" s="137"/>
      <c r="G71" s="137"/>
      <c r="H71" s="137"/>
      <c r="I71" s="139"/>
      <c r="J71" s="139"/>
      <c r="K71" s="139"/>
      <c r="L71" s="139"/>
      <c r="M71" s="139"/>
      <c r="N71" s="139"/>
      <c r="O71" s="88"/>
      <c r="P71" s="88"/>
      <c r="Q71" s="88"/>
      <c r="R71" s="88"/>
      <c r="S71" s="88"/>
      <c r="T71" s="88"/>
      <c r="U71" s="88"/>
      <c r="V71" s="33"/>
      <c r="W71" s="33"/>
      <c r="X71" s="53">
        <f t="shared" ref="X71:X134" si="3">IF(X70&lt;$F$16,X70+1,"")</f>
        <v>67</v>
      </c>
      <c r="Y71" s="51"/>
      <c r="Z71" s="51"/>
      <c r="AA71" s="51"/>
      <c r="AB71" s="53">
        <f t="shared" ref="AB71:AB134" si="4">IF(AB70&lt;$F$16,AB70+1,"")</f>
        <v>67</v>
      </c>
      <c r="AC71" s="50">
        <f>IF(AB71&lt;=$F$16,IF($F$18=Лист2!$A$2,'Аннуитетное (с ндс)'!N77,IF('Калькулятор лизинга'!$F$18=Лист2!$A$3,Равномерное!N76,'Калькулятор лизинга'!Y71)),"")</f>
        <v>0</v>
      </c>
      <c r="AD71" s="51"/>
      <c r="AE71" s="51"/>
      <c r="AF71" s="51"/>
      <c r="AG71" s="53">
        <f t="shared" ref="AG71:AG134" si="5">IF(AG70&lt;$O$16,AG70+1,"")</f>
        <v>67</v>
      </c>
      <c r="AH71" s="50">
        <f>IF(AG71&lt;=$O$16,IF($O$18=Лист2!$A$2,'Кредит аннуитет'!M76,'Кредит равномерное'!M76),"")</f>
        <v>116806.52744293376</v>
      </c>
      <c r="AI71" s="51"/>
    </row>
    <row r="72" spans="2:35" ht="15.75" x14ac:dyDescent="0.25">
      <c r="B72" s="88"/>
      <c r="C72" s="88"/>
      <c r="D72" s="88"/>
      <c r="E72" s="88"/>
      <c r="F72" s="137"/>
      <c r="G72" s="137"/>
      <c r="H72" s="137"/>
      <c r="I72" s="139"/>
      <c r="J72" s="139"/>
      <c r="K72" s="139"/>
      <c r="L72" s="139"/>
      <c r="M72" s="139"/>
      <c r="N72" s="139"/>
      <c r="O72" s="88"/>
      <c r="P72" s="88"/>
      <c r="Q72" s="88"/>
      <c r="R72" s="88"/>
      <c r="S72" s="88"/>
      <c r="T72" s="88"/>
      <c r="U72" s="88"/>
      <c r="V72" s="33"/>
      <c r="W72" s="32"/>
      <c r="X72" s="53">
        <f t="shared" si="3"/>
        <v>68</v>
      </c>
      <c r="Y72" s="51"/>
      <c r="Z72" s="51"/>
      <c r="AA72" s="51"/>
      <c r="AB72" s="53">
        <f t="shared" si="4"/>
        <v>68</v>
      </c>
      <c r="AC72" s="50">
        <f>IF(AB72&lt;=$F$16,IF($F$18=Лист2!$A$2,'Аннуитетное (с ндс)'!N78,IF('Калькулятор лизинга'!$F$18=Лист2!$A$3,Равномерное!N77,'Калькулятор лизинга'!Y72)),"")</f>
        <v>0</v>
      </c>
      <c r="AD72" s="51"/>
      <c r="AE72" s="51"/>
      <c r="AF72" s="51"/>
      <c r="AG72" s="53">
        <f t="shared" si="5"/>
        <v>68</v>
      </c>
      <c r="AH72" s="50">
        <f>IF(AG72&lt;=$O$16,IF($O$18=Лист2!$A$2,'Кредит аннуитет'!M77,'Кредит равномерное'!M77),"")</f>
        <v>116798.69773974185</v>
      </c>
      <c r="AI72" s="51"/>
    </row>
    <row r="73" spans="2:35" ht="15.75" hidden="1" x14ac:dyDescent="0.25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33"/>
      <c r="P73" s="33"/>
      <c r="Q73" s="33"/>
      <c r="R73" s="33"/>
      <c r="S73" s="33"/>
      <c r="T73" s="33"/>
      <c r="U73" s="33"/>
      <c r="V73" s="32"/>
      <c r="W73" s="32"/>
      <c r="X73" s="53">
        <f t="shared" si="3"/>
        <v>69</v>
      </c>
      <c r="Y73" s="51"/>
      <c r="Z73" s="51"/>
      <c r="AA73" s="51"/>
      <c r="AB73" s="53">
        <f t="shared" si="4"/>
        <v>69</v>
      </c>
      <c r="AC73" s="50">
        <f>IF(AB73&lt;=$F$16,IF($F$18=Лист2!$A$2,'Аннуитетное (с ндс)'!N79,IF('Калькулятор лизинга'!$F$18=Лист2!$A$3,Равномерное!N78,'Калькулятор лизинга'!Y73)),"")</f>
        <v>0</v>
      </c>
      <c r="AD73" s="51"/>
      <c r="AE73" s="51"/>
      <c r="AF73" s="51"/>
      <c r="AG73" s="53">
        <f t="shared" si="5"/>
        <v>69</v>
      </c>
      <c r="AH73" s="50">
        <f>IF(AG73&lt;=$O$16,IF($O$18=Лист2!$A$2,'Кредит аннуитет'!M78,'Кредит равномерное'!M78),"")</f>
        <v>116790.57934577158</v>
      </c>
      <c r="AI73" s="51"/>
    </row>
    <row r="74" spans="2:35" ht="15.75" customHeight="1" x14ac:dyDescent="0.25">
      <c r="B74" s="33"/>
      <c r="C74" s="33"/>
      <c r="D74" s="33"/>
      <c r="E74" s="33"/>
      <c r="G74" s="66"/>
      <c r="H74" s="66"/>
      <c r="I74" s="66"/>
      <c r="J74" s="66"/>
      <c r="K74" s="83" t="str">
        <f>IF(I69&lt;0,"отрицательное значение ставки говорит о росте общей эффективности бизнеса в случае использования финансовых инструментов при условии наличия прибыли (налоговой базы) в размере, достаточном для уменьшения налога",IF(L69&lt;0,"отрицательное значение ставки говорит о росте общей эффективности бизнеса в случае использования финансовых инструментов при условии наличия прибыли (налоговой базы) в размере, достаточном для уменьшения налога",""))</f>
        <v>отрицательное значение ставки говорит о росте общей эффективности бизнеса в случае использования финансовых инструментов при условии наличия прибыли (налоговой базы) в размере, достаточном для уменьшения налога</v>
      </c>
      <c r="L74" s="84"/>
      <c r="M74" s="84"/>
      <c r="N74" s="84"/>
      <c r="O74" s="33"/>
      <c r="P74" s="33"/>
      <c r="Q74" s="33"/>
      <c r="R74" s="33"/>
      <c r="S74" s="32"/>
      <c r="T74" s="33"/>
      <c r="U74" s="33"/>
      <c r="V74" s="32"/>
      <c r="W74" s="32"/>
      <c r="X74" s="53">
        <f t="shared" si="3"/>
        <v>70</v>
      </c>
      <c r="Y74" s="51"/>
      <c r="Z74" s="51"/>
      <c r="AA74" s="51"/>
      <c r="AB74" s="53">
        <f t="shared" si="4"/>
        <v>70</v>
      </c>
      <c r="AC74" s="50">
        <f>IF(AB74&lt;=$F$16,IF($F$18=Лист2!$A$2,'Аннуитетное (с ндс)'!N80,IF('Калькулятор лизинга'!$F$18=Лист2!$A$3,Равномерное!N79,'Калькулятор лизинга'!Y74)),"")</f>
        <v>0</v>
      </c>
      <c r="AD74" s="51"/>
      <c r="AE74" s="51"/>
      <c r="AF74" s="51"/>
      <c r="AG74" s="53">
        <f t="shared" si="5"/>
        <v>70</v>
      </c>
      <c r="AH74" s="50">
        <f>IF(AG74&lt;=$O$16,IF($O$18=Лист2!$A$2,'Кредит аннуитет'!M79,'Кредит равномерное'!M79),"")</f>
        <v>116782.16161663918</v>
      </c>
      <c r="AI74" s="51"/>
    </row>
    <row r="75" spans="2:35" ht="15.75" x14ac:dyDescent="0.25">
      <c r="B75" s="32"/>
      <c r="C75" s="32"/>
      <c r="D75" s="32"/>
      <c r="E75" s="32"/>
      <c r="F75" s="66"/>
      <c r="G75" s="66"/>
      <c r="H75" s="66"/>
      <c r="I75" s="66"/>
      <c r="J75" s="66"/>
      <c r="K75" s="84"/>
      <c r="L75" s="84"/>
      <c r="M75" s="84"/>
      <c r="N75" s="84"/>
      <c r="O75" s="32"/>
      <c r="P75" s="32"/>
      <c r="Q75" s="32"/>
      <c r="R75" s="32"/>
      <c r="S75" s="32"/>
      <c r="T75" s="33"/>
      <c r="U75" s="33"/>
      <c r="V75" s="32"/>
      <c r="W75" s="32"/>
      <c r="X75" s="53">
        <f t="shared" si="3"/>
        <v>71</v>
      </c>
      <c r="Y75" s="51"/>
      <c r="Z75" s="51"/>
      <c r="AA75" s="51"/>
      <c r="AB75" s="53">
        <f t="shared" si="4"/>
        <v>71</v>
      </c>
      <c r="AC75" s="50">
        <f>IF(AB75&lt;=$F$16,IF($F$18=Лист2!$A$2,'Аннуитетное (с ндс)'!N81,IF('Калькулятор лизинга'!$F$18=Лист2!$A$3,Равномерное!N80,'Калькулятор лизинга'!Y75)),"")</f>
        <v>0</v>
      </c>
      <c r="AD75" s="51"/>
      <c r="AE75" s="51"/>
      <c r="AF75" s="51"/>
      <c r="AG75" s="53">
        <f t="shared" si="5"/>
        <v>71</v>
      </c>
      <c r="AH75" s="50">
        <f>IF(AG75&lt;=$O$16,IF($O$18=Лист2!$A$2,'Кредит аннуитет'!M80,'Кредит равномерное'!M80),"")</f>
        <v>116773.43351548939</v>
      </c>
      <c r="AI75" s="51"/>
    </row>
    <row r="76" spans="2:35" ht="15.75" x14ac:dyDescent="0.25">
      <c r="B76" s="32"/>
      <c r="C76" s="32"/>
      <c r="D76" s="32"/>
      <c r="E76" s="32"/>
      <c r="F76" s="66"/>
      <c r="G76" s="66"/>
      <c r="H76" s="66"/>
      <c r="I76" s="66"/>
      <c r="J76" s="66"/>
      <c r="K76" s="84"/>
      <c r="L76" s="84"/>
      <c r="M76" s="84"/>
      <c r="N76" s="84"/>
      <c r="O76" s="32"/>
      <c r="P76" s="32"/>
      <c r="Q76" s="32"/>
      <c r="R76" s="32"/>
      <c r="S76" s="32"/>
      <c r="T76" s="33"/>
      <c r="U76" s="33"/>
      <c r="V76" s="32"/>
      <c r="W76" s="32"/>
      <c r="X76" s="53">
        <f t="shared" si="3"/>
        <v>72</v>
      </c>
      <c r="Y76" s="51"/>
      <c r="Z76" s="51"/>
      <c r="AA76" s="51"/>
      <c r="AB76" s="53">
        <f t="shared" si="4"/>
        <v>72</v>
      </c>
      <c r="AC76" s="50">
        <f>IF(AB76&lt;=$F$16,IF($F$18=Лист2!$A$2,'Аннуитетное (с ндс)'!N82,IF('Калькулятор лизинга'!$F$18=Лист2!$A$3,Равномерное!N81,'Калькулятор лизинга'!Y76)),"")</f>
        <v>0</v>
      </c>
      <c r="AD76" s="51"/>
      <c r="AE76" s="51"/>
      <c r="AF76" s="51"/>
      <c r="AG76" s="53">
        <f t="shared" si="5"/>
        <v>72</v>
      </c>
      <c r="AH76" s="50">
        <f>IF(AG76&lt;=$O$16,IF($O$18=Лист2!$A$2,'Кредит аннуитет'!M81,'Кредит равномерное'!M81),"")</f>
        <v>116764.38359852452</v>
      </c>
      <c r="AI76" s="51"/>
    </row>
    <row r="77" spans="2:35" ht="15.75" x14ac:dyDescent="0.25">
      <c r="B77" s="32"/>
      <c r="C77" s="32"/>
      <c r="D77" s="32"/>
      <c r="E77" s="32"/>
      <c r="F77" s="45"/>
      <c r="G77" s="45"/>
      <c r="H77" s="45"/>
      <c r="I77" s="32"/>
      <c r="J77" s="32"/>
      <c r="K77" s="84"/>
      <c r="L77" s="84"/>
      <c r="M77" s="84"/>
      <c r="N77" s="84"/>
      <c r="O77" s="32"/>
      <c r="P77" s="32"/>
      <c r="Q77" s="32"/>
      <c r="R77" s="32"/>
      <c r="S77" s="32"/>
      <c r="T77" s="33"/>
      <c r="U77" s="33"/>
      <c r="V77" s="32"/>
      <c r="W77" s="32"/>
      <c r="X77" s="53" t="str">
        <f t="shared" si="3"/>
        <v/>
      </c>
      <c r="Y77" s="51"/>
      <c r="Z77" s="51"/>
      <c r="AA77" s="51"/>
      <c r="AB77" s="53" t="str">
        <f t="shared" si="4"/>
        <v/>
      </c>
      <c r="AC77" s="50" t="str">
        <f>IF(AB77&lt;=$F$16,IF($F$18=Лист2!$A$2,'Аннуитетное (с ндс)'!N83,IF('Калькулятор лизинга'!$F$18=Лист2!$A$3,Равномерное!N82,'Калькулятор лизинга'!Y77)),"")</f>
        <v/>
      </c>
      <c r="AD77" s="51"/>
      <c r="AE77" s="51"/>
      <c r="AF77" s="51"/>
      <c r="AG77" s="53" t="str">
        <f t="shared" si="5"/>
        <v/>
      </c>
      <c r="AH77" s="50" t="str">
        <f>IF(AG77&lt;=$O$16,IF($O$18=Лист2!$A$2,'Кредит аннуитет'!M82,'Кредит равномерное'!M82),"")</f>
        <v/>
      </c>
      <c r="AI77" s="51"/>
    </row>
    <row r="78" spans="2:35" ht="15.75" x14ac:dyDescent="0.25">
      <c r="B78" s="32"/>
      <c r="C78" s="32"/>
      <c r="D78" s="32"/>
      <c r="E78" s="32"/>
      <c r="F78" s="45"/>
      <c r="G78" s="45"/>
      <c r="H78" s="45"/>
      <c r="I78" s="32"/>
      <c r="J78" s="32"/>
      <c r="K78" s="84"/>
      <c r="L78" s="84"/>
      <c r="M78" s="84"/>
      <c r="N78" s="84"/>
      <c r="O78" s="32"/>
      <c r="P78" s="32"/>
      <c r="Q78" s="32"/>
      <c r="R78" s="32"/>
      <c r="S78" s="32"/>
      <c r="T78" s="33"/>
      <c r="U78" s="33"/>
      <c r="V78" s="32"/>
      <c r="W78" s="32"/>
      <c r="X78" s="53" t="str">
        <f t="shared" si="3"/>
        <v/>
      </c>
      <c r="Y78" s="51"/>
      <c r="Z78" s="51"/>
      <c r="AA78" s="51"/>
      <c r="AB78" s="53" t="str">
        <f t="shared" si="4"/>
        <v/>
      </c>
      <c r="AC78" s="50" t="str">
        <f>IF(AB78&lt;=$F$16,IF($F$18=Лист2!$A$2,'Аннуитетное (с ндс)'!N84,IF('Калькулятор лизинга'!$F$18=Лист2!$A$3,Равномерное!N83,'Калькулятор лизинга'!Y78)),"")</f>
        <v/>
      </c>
      <c r="AD78" s="51"/>
      <c r="AE78" s="51"/>
      <c r="AF78" s="51"/>
      <c r="AG78" s="53" t="str">
        <f t="shared" si="5"/>
        <v/>
      </c>
      <c r="AH78" s="50" t="str">
        <f>IF(AG78&lt;=$O$16,IF($O$18=Лист2!$A$2,'Кредит аннуитет'!M83,'Кредит равномерное'!M83),"")</f>
        <v/>
      </c>
      <c r="AI78" s="51"/>
    </row>
    <row r="79" spans="2:35" ht="15.75" x14ac:dyDescent="0.25">
      <c r="B79" s="32"/>
      <c r="C79" s="32"/>
      <c r="D79" s="32"/>
      <c r="E79" s="32"/>
      <c r="F79" s="45"/>
      <c r="G79" s="45"/>
      <c r="H79" s="45"/>
      <c r="I79" s="32"/>
      <c r="J79" s="32"/>
      <c r="K79" s="84"/>
      <c r="L79" s="84"/>
      <c r="M79" s="84"/>
      <c r="N79" s="84"/>
      <c r="O79" s="32"/>
      <c r="P79" s="32"/>
      <c r="Q79" s="32"/>
      <c r="R79" s="32"/>
      <c r="S79" s="32"/>
      <c r="T79" s="33"/>
      <c r="U79" s="33"/>
      <c r="V79" s="32"/>
      <c r="W79" s="32"/>
      <c r="X79" s="53" t="str">
        <f t="shared" si="3"/>
        <v/>
      </c>
      <c r="Y79" s="51"/>
      <c r="Z79" s="51"/>
      <c r="AA79" s="51"/>
      <c r="AB79" s="53" t="str">
        <f t="shared" si="4"/>
        <v/>
      </c>
      <c r="AC79" s="50" t="str">
        <f>IF(AB79&lt;=$F$16,IF($F$18=Лист2!$A$2,'Аннуитетное (с ндс)'!N85,IF('Калькулятор лизинга'!$F$18=Лист2!$A$3,Равномерное!N84,'Калькулятор лизинга'!Y79)),"")</f>
        <v/>
      </c>
      <c r="AD79" s="51"/>
      <c r="AE79" s="51"/>
      <c r="AF79" s="51"/>
      <c r="AG79" s="53" t="str">
        <f t="shared" si="5"/>
        <v/>
      </c>
      <c r="AH79" s="50" t="str">
        <f>IF(AG79&lt;=$O$16,IF($O$18=Лист2!$A$2,'Кредит аннуитет'!M84,'Кредит равномерное'!M84),"")</f>
        <v/>
      </c>
      <c r="AI79" s="51"/>
    </row>
    <row r="80" spans="2:35" ht="15.75" x14ac:dyDescent="0.25">
      <c r="B80" s="32"/>
      <c r="C80" s="32"/>
      <c r="D80" s="32"/>
      <c r="E80" s="32"/>
      <c r="F80" s="45"/>
      <c r="G80" s="45"/>
      <c r="H80" s="45"/>
      <c r="I80" s="32"/>
      <c r="J80" s="32"/>
      <c r="K80" s="84"/>
      <c r="L80" s="84"/>
      <c r="M80" s="84"/>
      <c r="N80" s="84"/>
      <c r="O80" s="32"/>
      <c r="P80" s="32"/>
      <c r="Q80" s="32"/>
      <c r="R80" s="32"/>
      <c r="S80" s="32"/>
      <c r="T80" s="33"/>
      <c r="U80" s="33"/>
      <c r="V80" s="32"/>
      <c r="W80" s="32"/>
      <c r="X80" s="53" t="str">
        <f t="shared" si="3"/>
        <v/>
      </c>
      <c r="Y80" s="51"/>
      <c r="Z80" s="51"/>
      <c r="AA80" s="51"/>
      <c r="AB80" s="53" t="str">
        <f t="shared" si="4"/>
        <v/>
      </c>
      <c r="AC80" s="50" t="str">
        <f>IF(AB80&lt;=$F$16,IF($F$18=Лист2!$A$2,'Аннуитетное (с ндс)'!N86,IF('Калькулятор лизинга'!$F$18=Лист2!$A$3,Равномерное!N85,'Калькулятор лизинга'!Y80)),"")</f>
        <v/>
      </c>
      <c r="AD80" s="51"/>
      <c r="AE80" s="51"/>
      <c r="AF80" s="51"/>
      <c r="AG80" s="53" t="str">
        <f t="shared" si="5"/>
        <v/>
      </c>
      <c r="AH80" s="50" t="str">
        <f>IF(AG80&lt;=$O$16,IF($O$18=Лист2!$A$2,'Кредит аннуитет'!M85,'Кредит равномерное'!M85),"")</f>
        <v/>
      </c>
      <c r="AI80" s="51"/>
    </row>
    <row r="81" spans="2:35" ht="15.75" x14ac:dyDescent="0.25">
      <c r="B81" s="32"/>
      <c r="C81" s="32"/>
      <c r="D81" s="32"/>
      <c r="E81" s="32"/>
      <c r="F81" s="32"/>
      <c r="G81" s="32"/>
      <c r="H81" s="32"/>
      <c r="I81" s="32"/>
      <c r="J81" s="32"/>
      <c r="K81" s="84"/>
      <c r="L81" s="84"/>
      <c r="M81" s="84"/>
      <c r="N81" s="84"/>
      <c r="O81" s="32"/>
      <c r="P81" s="32"/>
      <c r="Q81" s="32"/>
      <c r="R81" s="32"/>
      <c r="S81" s="32"/>
      <c r="T81" s="33"/>
      <c r="U81" s="33"/>
      <c r="V81" s="32"/>
      <c r="W81" s="32"/>
      <c r="X81" s="53" t="str">
        <f t="shared" si="3"/>
        <v/>
      </c>
      <c r="Y81" s="51"/>
      <c r="Z81" s="51"/>
      <c r="AA81" s="51"/>
      <c r="AB81" s="53" t="str">
        <f t="shared" si="4"/>
        <v/>
      </c>
      <c r="AC81" s="50" t="str">
        <f>IF(AB81&lt;=$F$16,IF($F$18=Лист2!$A$2,'Аннуитетное (с ндс)'!N87,IF('Калькулятор лизинга'!$F$18=Лист2!$A$3,Равномерное!N86,'Калькулятор лизинга'!Y81)),"")</f>
        <v/>
      </c>
      <c r="AD81" s="51"/>
      <c r="AE81" s="51"/>
      <c r="AF81" s="51"/>
      <c r="AG81" s="53" t="str">
        <f t="shared" si="5"/>
        <v/>
      </c>
      <c r="AH81" s="50" t="str">
        <f>IF(AG81&lt;=$O$16,IF($O$18=Лист2!$A$2,'Кредит аннуитет'!M86,'Кредит равномерное'!M86),"")</f>
        <v/>
      </c>
      <c r="AI81" s="51"/>
    </row>
    <row r="82" spans="2:35" s="79" customFormat="1" ht="15.75" x14ac:dyDescent="0.25">
      <c r="X82" s="80" t="str">
        <f t="shared" si="3"/>
        <v/>
      </c>
      <c r="Y82" s="81"/>
      <c r="Z82" s="81"/>
      <c r="AA82" s="81"/>
      <c r="AB82" s="80" t="str">
        <f t="shared" si="4"/>
        <v/>
      </c>
      <c r="AC82" s="82" t="str">
        <f>IF(AB82&lt;=$F$16,IF($F$18=Лист2!$A$2,'Аннуитетное (с ндс)'!N88,IF('Калькулятор лизинга'!$F$18=Лист2!$A$3,Равномерное!N87,'Калькулятор лизинга'!Y82)),"")</f>
        <v/>
      </c>
      <c r="AD82" s="81"/>
      <c r="AE82" s="81"/>
      <c r="AF82" s="81"/>
      <c r="AG82" s="80" t="str">
        <f t="shared" si="5"/>
        <v/>
      </c>
      <c r="AH82" s="82" t="str">
        <f>IF(AG82&lt;=$O$16,IF($O$18=Лист2!$A$2,'Кредит аннуитет'!M87,'Кредит равномерное'!M87),"")</f>
        <v/>
      </c>
      <c r="AI82" s="81"/>
    </row>
    <row r="83" spans="2:35" s="79" customFormat="1" ht="15.75" x14ac:dyDescent="0.25">
      <c r="X83" s="80" t="str">
        <f t="shared" si="3"/>
        <v/>
      </c>
      <c r="Y83" s="81"/>
      <c r="Z83" s="81"/>
      <c r="AA83" s="81"/>
      <c r="AB83" s="80" t="str">
        <f t="shared" si="4"/>
        <v/>
      </c>
      <c r="AC83" s="82" t="str">
        <f>IF(AB83&lt;=$F$16,IF($F$18=Лист2!$A$2,'Аннуитетное (с ндс)'!N89,IF('Калькулятор лизинга'!$F$18=Лист2!$A$3,Равномерное!N88,'Калькулятор лизинга'!Y83)),"")</f>
        <v/>
      </c>
      <c r="AD83" s="81"/>
      <c r="AE83" s="81"/>
      <c r="AF83" s="81"/>
      <c r="AG83" s="80" t="str">
        <f t="shared" si="5"/>
        <v/>
      </c>
      <c r="AH83" s="82" t="str">
        <f>IF(AG83&lt;=$O$16,IF($O$18=Лист2!$A$2,'Кредит аннуитет'!M88,'Кредит равномерное'!M88),"")</f>
        <v/>
      </c>
      <c r="AI83" s="81"/>
    </row>
    <row r="84" spans="2:35" s="79" customFormat="1" ht="15.75" x14ac:dyDescent="0.25">
      <c r="X84" s="80" t="str">
        <f t="shared" si="3"/>
        <v/>
      </c>
      <c r="Y84" s="81"/>
      <c r="Z84" s="81"/>
      <c r="AA84" s="81"/>
      <c r="AB84" s="80" t="str">
        <f t="shared" si="4"/>
        <v/>
      </c>
      <c r="AC84" s="82" t="str">
        <f>IF(AB84&lt;=$F$16,IF($F$18=Лист2!$A$2,'Аннуитетное (с ндс)'!N90,IF('Калькулятор лизинга'!$F$18=Лист2!$A$3,Равномерное!N89,'Калькулятор лизинга'!Y84)),"")</f>
        <v/>
      </c>
      <c r="AD84" s="81"/>
      <c r="AE84" s="81"/>
      <c r="AF84" s="81"/>
      <c r="AG84" s="80" t="str">
        <f t="shared" si="5"/>
        <v/>
      </c>
      <c r="AH84" s="82" t="str">
        <f>IF(AG84&lt;=$O$16,IF($O$18=Лист2!$A$2,'Кредит аннуитет'!M89,'Кредит равномерное'!M89),"")</f>
        <v/>
      </c>
      <c r="AI84" s="81"/>
    </row>
    <row r="85" spans="2:35" s="79" customFormat="1" ht="15.75" x14ac:dyDescent="0.25">
      <c r="X85" s="80" t="str">
        <f t="shared" si="3"/>
        <v/>
      </c>
      <c r="Y85" s="81"/>
      <c r="Z85" s="81"/>
      <c r="AA85" s="81"/>
      <c r="AB85" s="80" t="str">
        <f t="shared" si="4"/>
        <v/>
      </c>
      <c r="AC85" s="82" t="str">
        <f>IF(AB85&lt;=$F$16,IF($F$18=Лист2!$A$2,'Аннуитетное (с ндс)'!N91,IF('Калькулятор лизинга'!$F$18=Лист2!$A$3,Равномерное!N90,'Калькулятор лизинга'!Y85)),"")</f>
        <v/>
      </c>
      <c r="AD85" s="81"/>
      <c r="AE85" s="81"/>
      <c r="AF85" s="81"/>
      <c r="AG85" s="80" t="str">
        <f t="shared" si="5"/>
        <v/>
      </c>
      <c r="AH85" s="82" t="str">
        <f>IF(AG85&lt;=$O$16,IF($O$18=Лист2!$A$2,'Кредит аннуитет'!M90,'Кредит равномерное'!M90),"")</f>
        <v/>
      </c>
      <c r="AI85" s="81"/>
    </row>
    <row r="86" spans="2:35" s="79" customFormat="1" ht="15.75" x14ac:dyDescent="0.25">
      <c r="X86" s="80" t="str">
        <f t="shared" si="3"/>
        <v/>
      </c>
      <c r="Y86" s="81"/>
      <c r="Z86" s="81"/>
      <c r="AA86" s="81"/>
      <c r="AB86" s="80" t="str">
        <f t="shared" si="4"/>
        <v/>
      </c>
      <c r="AC86" s="82" t="str">
        <f>IF(AB86&lt;=$F$16,IF($F$18=Лист2!$A$2,'Аннуитетное (с ндс)'!N92,IF('Калькулятор лизинга'!$F$18=Лист2!$A$3,Равномерное!N91,'Калькулятор лизинга'!Y86)),"")</f>
        <v/>
      </c>
      <c r="AD86" s="81"/>
      <c r="AE86" s="81"/>
      <c r="AF86" s="81"/>
      <c r="AG86" s="80" t="str">
        <f t="shared" si="5"/>
        <v/>
      </c>
      <c r="AH86" s="82" t="str">
        <f>IF(AG86&lt;=$O$16,IF($O$18=Лист2!$A$2,'Кредит аннуитет'!M91,'Кредит равномерное'!M91),"")</f>
        <v/>
      </c>
      <c r="AI86" s="81"/>
    </row>
    <row r="87" spans="2:35" s="79" customFormat="1" ht="15.75" x14ac:dyDescent="0.25">
      <c r="X87" s="80" t="str">
        <f t="shared" si="3"/>
        <v/>
      </c>
      <c r="Y87" s="81"/>
      <c r="Z87" s="81"/>
      <c r="AA87" s="81"/>
      <c r="AB87" s="80" t="str">
        <f t="shared" si="4"/>
        <v/>
      </c>
      <c r="AC87" s="82" t="str">
        <f>IF(AB87&lt;=$F$16,IF($F$18=Лист2!$A$2,'Аннуитетное (с ндс)'!N93,IF('Калькулятор лизинга'!$F$18=Лист2!$A$3,Равномерное!N92,'Калькулятор лизинга'!Y87)),"")</f>
        <v/>
      </c>
      <c r="AD87" s="81"/>
      <c r="AE87" s="81"/>
      <c r="AF87" s="81"/>
      <c r="AG87" s="80" t="str">
        <f t="shared" si="5"/>
        <v/>
      </c>
      <c r="AH87" s="82" t="str">
        <f>IF(AG87&lt;=$O$16,IF($O$18=Лист2!$A$2,'Кредит аннуитет'!M92,'Кредит равномерное'!M92),"")</f>
        <v/>
      </c>
      <c r="AI87" s="81"/>
    </row>
    <row r="88" spans="2:35" s="79" customFormat="1" ht="15.75" x14ac:dyDescent="0.25">
      <c r="X88" s="80" t="str">
        <f t="shared" si="3"/>
        <v/>
      </c>
      <c r="Y88" s="81"/>
      <c r="Z88" s="81"/>
      <c r="AA88" s="81"/>
      <c r="AB88" s="80" t="str">
        <f t="shared" si="4"/>
        <v/>
      </c>
      <c r="AC88" s="82" t="str">
        <f>IF(AB88&lt;=$F$16,IF($F$18=Лист2!$A$2,'Аннуитетное (с ндс)'!N94,IF('Калькулятор лизинга'!$F$18=Лист2!$A$3,Равномерное!N93,'Калькулятор лизинга'!Y88)),"")</f>
        <v/>
      </c>
      <c r="AD88" s="81"/>
      <c r="AE88" s="81"/>
      <c r="AF88" s="81"/>
      <c r="AG88" s="80" t="str">
        <f t="shared" si="5"/>
        <v/>
      </c>
      <c r="AH88" s="82" t="str">
        <f>IF(AG88&lt;=$O$16,IF($O$18=Лист2!$A$2,'Кредит аннуитет'!M93,'Кредит равномерное'!M93),"")</f>
        <v/>
      </c>
      <c r="AI88" s="81"/>
    </row>
    <row r="89" spans="2:35" s="79" customFormat="1" ht="15.75" x14ac:dyDescent="0.25">
      <c r="X89" s="80" t="str">
        <f t="shared" si="3"/>
        <v/>
      </c>
      <c r="Y89" s="81"/>
      <c r="Z89" s="81"/>
      <c r="AA89" s="81"/>
      <c r="AB89" s="80" t="str">
        <f t="shared" si="4"/>
        <v/>
      </c>
      <c r="AC89" s="82" t="str">
        <f>IF(AB89&lt;=$F$16,IF($F$18=Лист2!$A$2,'Аннуитетное (с ндс)'!N95,IF('Калькулятор лизинга'!$F$18=Лист2!$A$3,Равномерное!N94,'Калькулятор лизинга'!Y89)),"")</f>
        <v/>
      </c>
      <c r="AD89" s="81"/>
      <c r="AE89" s="81"/>
      <c r="AF89" s="81"/>
      <c r="AG89" s="80" t="str">
        <f t="shared" si="5"/>
        <v/>
      </c>
      <c r="AH89" s="82" t="str">
        <f>IF(AG89&lt;=$O$16,IF($O$18=Лист2!$A$2,'Кредит аннуитет'!M94,'Кредит равномерное'!M94),"")</f>
        <v/>
      </c>
      <c r="AI89" s="81"/>
    </row>
    <row r="90" spans="2:35" s="79" customFormat="1" ht="15.75" x14ac:dyDescent="0.25">
      <c r="X90" s="80" t="str">
        <f t="shared" si="3"/>
        <v/>
      </c>
      <c r="Y90" s="81"/>
      <c r="Z90" s="81"/>
      <c r="AA90" s="81"/>
      <c r="AB90" s="80" t="str">
        <f t="shared" si="4"/>
        <v/>
      </c>
      <c r="AC90" s="82" t="str">
        <f>IF(AB90&lt;=$F$16,IF($F$18=Лист2!$A$2,'Аннуитетное (с ндс)'!N96,IF('Калькулятор лизинга'!$F$18=Лист2!$A$3,Равномерное!N95,'Калькулятор лизинга'!Y90)),"")</f>
        <v/>
      </c>
      <c r="AD90" s="81"/>
      <c r="AE90" s="81"/>
      <c r="AF90" s="81"/>
      <c r="AG90" s="80" t="str">
        <f t="shared" si="5"/>
        <v/>
      </c>
      <c r="AH90" s="82" t="str">
        <f>IF(AG90&lt;=$O$16,IF($O$18=Лист2!$A$2,'Кредит аннуитет'!M95,'Кредит равномерное'!M95),"")</f>
        <v/>
      </c>
      <c r="AI90" s="81"/>
    </row>
    <row r="91" spans="2:35" s="79" customFormat="1" ht="15.75" x14ac:dyDescent="0.25">
      <c r="X91" s="80" t="str">
        <f t="shared" si="3"/>
        <v/>
      </c>
      <c r="Y91" s="81"/>
      <c r="Z91" s="81"/>
      <c r="AA91" s="81"/>
      <c r="AB91" s="80" t="str">
        <f t="shared" si="4"/>
        <v/>
      </c>
      <c r="AC91" s="82" t="str">
        <f>IF(AB91&lt;=$F$16,IF($F$18=Лист2!$A$2,'Аннуитетное (с ндс)'!N97,IF('Калькулятор лизинга'!$F$18=Лист2!$A$3,Равномерное!N96,'Калькулятор лизинга'!Y91)),"")</f>
        <v/>
      </c>
      <c r="AD91" s="81"/>
      <c r="AE91" s="81"/>
      <c r="AF91" s="81"/>
      <c r="AG91" s="80" t="str">
        <f t="shared" si="5"/>
        <v/>
      </c>
      <c r="AH91" s="82" t="str">
        <f>IF(AG91&lt;=$O$16,IF($O$18=Лист2!$A$2,'Кредит аннуитет'!M96,'Кредит равномерное'!M96),"")</f>
        <v/>
      </c>
      <c r="AI91" s="81"/>
    </row>
    <row r="92" spans="2:35" s="79" customFormat="1" ht="15.75" x14ac:dyDescent="0.25">
      <c r="X92" s="80" t="str">
        <f t="shared" si="3"/>
        <v/>
      </c>
      <c r="Y92" s="81"/>
      <c r="Z92" s="81"/>
      <c r="AA92" s="81"/>
      <c r="AB92" s="80" t="str">
        <f t="shared" si="4"/>
        <v/>
      </c>
      <c r="AC92" s="82" t="str">
        <f>IF(AB92&lt;=$F$16,IF($F$18=Лист2!$A$2,'Аннуитетное (с ндс)'!N98,IF('Калькулятор лизинга'!$F$18=Лист2!$A$3,Равномерное!N97,'Калькулятор лизинга'!Y92)),"")</f>
        <v/>
      </c>
      <c r="AD92" s="81"/>
      <c r="AE92" s="81"/>
      <c r="AF92" s="81"/>
      <c r="AG92" s="80" t="str">
        <f t="shared" si="5"/>
        <v/>
      </c>
      <c r="AH92" s="82" t="str">
        <f>IF(AG92&lt;=$O$16,IF($O$18=Лист2!$A$2,'Кредит аннуитет'!M97,'Кредит равномерное'!M97),"")</f>
        <v/>
      </c>
      <c r="AI92" s="81"/>
    </row>
    <row r="93" spans="2:35" s="79" customFormat="1" ht="15.75" x14ac:dyDescent="0.25">
      <c r="X93" s="80" t="str">
        <f t="shared" si="3"/>
        <v/>
      </c>
      <c r="Y93" s="81"/>
      <c r="Z93" s="81"/>
      <c r="AA93" s="81"/>
      <c r="AB93" s="80" t="str">
        <f t="shared" si="4"/>
        <v/>
      </c>
      <c r="AC93" s="82" t="str">
        <f>IF(AB93&lt;=$F$16,IF($F$18=Лист2!$A$2,'Аннуитетное (с ндс)'!N99,IF('Калькулятор лизинга'!$F$18=Лист2!$A$3,Равномерное!N98,'Калькулятор лизинга'!Y93)),"")</f>
        <v/>
      </c>
      <c r="AD93" s="81"/>
      <c r="AE93" s="81"/>
      <c r="AF93" s="81"/>
      <c r="AG93" s="80" t="str">
        <f t="shared" si="5"/>
        <v/>
      </c>
      <c r="AH93" s="82" t="str">
        <f>IF(AG93&lt;=$O$16,IF($O$18=Лист2!$A$2,'Кредит аннуитет'!M98,'Кредит равномерное'!M98),"")</f>
        <v/>
      </c>
      <c r="AI93" s="81"/>
    </row>
    <row r="94" spans="2:35" s="79" customFormat="1" ht="15.75" x14ac:dyDescent="0.25">
      <c r="X94" s="80" t="str">
        <f t="shared" si="3"/>
        <v/>
      </c>
      <c r="Y94" s="81"/>
      <c r="Z94" s="81"/>
      <c r="AA94" s="81"/>
      <c r="AB94" s="80" t="str">
        <f t="shared" si="4"/>
        <v/>
      </c>
      <c r="AC94" s="82" t="str">
        <f>IF(AB94&lt;=$F$16,IF($F$18=Лист2!$A$2,'Аннуитетное (с ндс)'!N100,IF('Калькулятор лизинга'!$F$18=Лист2!$A$3,Равномерное!N99,'Калькулятор лизинга'!Y94)),"")</f>
        <v/>
      </c>
      <c r="AD94" s="81"/>
      <c r="AE94" s="81"/>
      <c r="AF94" s="81"/>
      <c r="AG94" s="80" t="str">
        <f t="shared" si="5"/>
        <v/>
      </c>
      <c r="AH94" s="82" t="str">
        <f>IF(AG94&lt;=$O$16,IF($O$18=Лист2!$A$2,'Кредит аннуитет'!M99,'Кредит равномерное'!M99),"")</f>
        <v/>
      </c>
      <c r="AI94" s="81"/>
    </row>
    <row r="95" spans="2:35" s="79" customFormat="1" ht="15.75" x14ac:dyDescent="0.25">
      <c r="X95" s="80" t="str">
        <f t="shared" si="3"/>
        <v/>
      </c>
      <c r="Y95" s="81"/>
      <c r="Z95" s="81"/>
      <c r="AA95" s="81"/>
      <c r="AB95" s="80" t="str">
        <f t="shared" si="4"/>
        <v/>
      </c>
      <c r="AC95" s="82" t="str">
        <f>IF(AB95&lt;=$F$16,IF($F$18=Лист2!$A$2,'Аннуитетное (с ндс)'!N101,IF('Калькулятор лизинга'!$F$18=Лист2!$A$3,Равномерное!N100,'Калькулятор лизинга'!Y95)),"")</f>
        <v/>
      </c>
      <c r="AD95" s="81"/>
      <c r="AE95" s="81"/>
      <c r="AF95" s="81"/>
      <c r="AG95" s="80" t="str">
        <f t="shared" si="5"/>
        <v/>
      </c>
      <c r="AH95" s="82" t="str">
        <f>IF(AG95&lt;=$O$16,IF($O$18=Лист2!$A$2,'Кредит аннуитет'!M100,'Кредит равномерное'!M100),"")</f>
        <v/>
      </c>
      <c r="AI95" s="81"/>
    </row>
    <row r="96" spans="2:35" s="79" customFormat="1" ht="15.75" x14ac:dyDescent="0.25">
      <c r="X96" s="80" t="str">
        <f t="shared" si="3"/>
        <v/>
      </c>
      <c r="Y96" s="81"/>
      <c r="Z96" s="81"/>
      <c r="AA96" s="81"/>
      <c r="AB96" s="80" t="str">
        <f t="shared" si="4"/>
        <v/>
      </c>
      <c r="AC96" s="82" t="str">
        <f>IF(AB96&lt;=$F$16,IF($F$18=Лист2!$A$2,'Аннуитетное (с ндс)'!N102,IF('Калькулятор лизинга'!$F$18=Лист2!$A$3,Равномерное!N101,'Калькулятор лизинга'!Y96)),"")</f>
        <v/>
      </c>
      <c r="AD96" s="81"/>
      <c r="AE96" s="81"/>
      <c r="AF96" s="81"/>
      <c r="AG96" s="80" t="str">
        <f t="shared" si="5"/>
        <v/>
      </c>
      <c r="AH96" s="82" t="str">
        <f>IF(AG96&lt;=$O$16,IF($O$18=Лист2!$A$2,'Кредит аннуитет'!M101,'Кредит равномерное'!M101),"")</f>
        <v/>
      </c>
      <c r="AI96" s="81"/>
    </row>
    <row r="97" spans="24:35" s="79" customFormat="1" ht="15.75" x14ac:dyDescent="0.25">
      <c r="X97" s="80" t="str">
        <f t="shared" si="3"/>
        <v/>
      </c>
      <c r="Y97" s="81"/>
      <c r="Z97" s="81"/>
      <c r="AA97" s="81"/>
      <c r="AB97" s="80" t="str">
        <f t="shared" si="4"/>
        <v/>
      </c>
      <c r="AC97" s="82" t="str">
        <f>IF(AB97&lt;=$F$16,IF($F$18=Лист2!$A$2,'Аннуитетное (с ндс)'!N103,IF('Калькулятор лизинга'!$F$18=Лист2!$A$3,Равномерное!N102,'Калькулятор лизинга'!Y97)),"")</f>
        <v/>
      </c>
      <c r="AD97" s="81"/>
      <c r="AE97" s="81"/>
      <c r="AF97" s="81"/>
      <c r="AG97" s="80" t="str">
        <f t="shared" si="5"/>
        <v/>
      </c>
      <c r="AH97" s="82" t="str">
        <f>IF(AG97&lt;=$O$16,IF($O$18=Лист2!$A$2,'Кредит аннуитет'!M102,'Кредит равномерное'!M102),"")</f>
        <v/>
      </c>
      <c r="AI97" s="81"/>
    </row>
    <row r="98" spans="24:35" s="79" customFormat="1" ht="15.75" x14ac:dyDescent="0.25">
      <c r="X98" s="80" t="str">
        <f t="shared" si="3"/>
        <v/>
      </c>
      <c r="Y98" s="81"/>
      <c r="Z98" s="81"/>
      <c r="AA98" s="81"/>
      <c r="AB98" s="80" t="str">
        <f t="shared" si="4"/>
        <v/>
      </c>
      <c r="AC98" s="82" t="str">
        <f>IF(AB98&lt;=$F$16,IF($F$18=Лист2!$A$2,'Аннуитетное (с ндс)'!N104,IF('Калькулятор лизинга'!$F$18=Лист2!$A$3,Равномерное!N103,'Калькулятор лизинга'!Y98)),"")</f>
        <v/>
      </c>
      <c r="AD98" s="81"/>
      <c r="AE98" s="81"/>
      <c r="AF98" s="81"/>
      <c r="AG98" s="80" t="str">
        <f t="shared" si="5"/>
        <v/>
      </c>
      <c r="AH98" s="82" t="str">
        <f>IF(AG98&lt;=$O$16,IF($O$18=Лист2!$A$2,'Кредит аннуитет'!M103,'Кредит равномерное'!M103),"")</f>
        <v/>
      </c>
      <c r="AI98" s="81"/>
    </row>
    <row r="99" spans="24:35" s="79" customFormat="1" ht="15.75" x14ac:dyDescent="0.25">
      <c r="X99" s="80" t="str">
        <f t="shared" si="3"/>
        <v/>
      </c>
      <c r="Y99" s="81"/>
      <c r="Z99" s="81"/>
      <c r="AA99" s="81"/>
      <c r="AB99" s="80" t="str">
        <f t="shared" si="4"/>
        <v/>
      </c>
      <c r="AC99" s="82" t="str">
        <f>IF(AB99&lt;=$F$16,IF($F$18=Лист2!$A$2,'Аннуитетное (с ндс)'!N105,IF('Калькулятор лизинга'!$F$18=Лист2!$A$3,Равномерное!N104,'Калькулятор лизинга'!Y99)),"")</f>
        <v/>
      </c>
      <c r="AD99" s="81"/>
      <c r="AE99" s="81"/>
      <c r="AF99" s="81"/>
      <c r="AG99" s="80" t="str">
        <f t="shared" si="5"/>
        <v/>
      </c>
      <c r="AH99" s="82" t="str">
        <f>IF(AG99&lt;=$O$16,IF($O$18=Лист2!$A$2,'Кредит аннуитет'!M104,'Кредит равномерное'!M104),"")</f>
        <v/>
      </c>
      <c r="AI99" s="81"/>
    </row>
    <row r="100" spans="24:35" s="79" customFormat="1" ht="15.75" x14ac:dyDescent="0.25">
      <c r="X100" s="80" t="str">
        <f t="shared" si="3"/>
        <v/>
      </c>
      <c r="Y100" s="81"/>
      <c r="Z100" s="81"/>
      <c r="AA100" s="81"/>
      <c r="AB100" s="80" t="str">
        <f t="shared" si="4"/>
        <v/>
      </c>
      <c r="AC100" s="82" t="str">
        <f>IF(AB100&lt;=$F$16,IF($F$18=Лист2!$A$2,'Аннуитетное (с ндс)'!N106,IF('Калькулятор лизинга'!$F$18=Лист2!$A$3,Равномерное!N105,'Калькулятор лизинга'!Y100)),"")</f>
        <v/>
      </c>
      <c r="AD100" s="81"/>
      <c r="AE100" s="81"/>
      <c r="AF100" s="81"/>
      <c r="AG100" s="80" t="str">
        <f t="shared" si="5"/>
        <v/>
      </c>
      <c r="AH100" s="82" t="str">
        <f>IF(AG100&lt;=$O$16,IF($O$18=Лист2!$A$2,'Кредит аннуитет'!M105,'Кредит равномерное'!M105),"")</f>
        <v/>
      </c>
      <c r="AI100" s="81"/>
    </row>
    <row r="101" spans="24:35" s="79" customFormat="1" ht="15.75" x14ac:dyDescent="0.25">
      <c r="X101" s="80" t="str">
        <f t="shared" si="3"/>
        <v/>
      </c>
      <c r="Y101" s="81"/>
      <c r="Z101" s="81"/>
      <c r="AA101" s="81"/>
      <c r="AB101" s="80" t="str">
        <f t="shared" si="4"/>
        <v/>
      </c>
      <c r="AC101" s="82" t="str">
        <f>IF(AB101&lt;=$F$16,IF($F$18=Лист2!$A$2,'Аннуитетное (с ндс)'!N107,IF('Калькулятор лизинга'!$F$18=Лист2!$A$3,Равномерное!N106,'Калькулятор лизинга'!Y101)),"")</f>
        <v/>
      </c>
      <c r="AD101" s="81"/>
      <c r="AE101" s="81"/>
      <c r="AF101" s="81"/>
      <c r="AG101" s="80" t="str">
        <f t="shared" si="5"/>
        <v/>
      </c>
      <c r="AH101" s="82" t="str">
        <f>IF(AG101&lt;=$O$16,IF($O$18=Лист2!$A$2,'Кредит аннуитет'!M106,'Кредит равномерное'!M106),"")</f>
        <v/>
      </c>
      <c r="AI101" s="81"/>
    </row>
    <row r="102" spans="24:35" s="79" customFormat="1" ht="15.75" x14ac:dyDescent="0.25">
      <c r="X102" s="80" t="str">
        <f t="shared" si="3"/>
        <v/>
      </c>
      <c r="Y102" s="81"/>
      <c r="Z102" s="81"/>
      <c r="AA102" s="81"/>
      <c r="AB102" s="80" t="str">
        <f t="shared" si="4"/>
        <v/>
      </c>
      <c r="AC102" s="82" t="str">
        <f>IF(AB102&lt;=$F$16,IF($F$18=Лист2!$A$2,'Аннуитетное (с ндс)'!N108,IF('Калькулятор лизинга'!$F$18=Лист2!$A$3,Равномерное!N107,'Калькулятор лизинга'!Y102)),"")</f>
        <v/>
      </c>
      <c r="AD102" s="81"/>
      <c r="AE102" s="81"/>
      <c r="AF102" s="81"/>
      <c r="AG102" s="80" t="str">
        <f t="shared" si="5"/>
        <v/>
      </c>
      <c r="AH102" s="82" t="str">
        <f>IF(AG102&lt;=$O$16,IF($O$18=Лист2!$A$2,'Кредит аннуитет'!M107,'Кредит равномерное'!M107),"")</f>
        <v/>
      </c>
      <c r="AI102" s="81"/>
    </row>
    <row r="103" spans="24:35" s="79" customFormat="1" ht="15.75" x14ac:dyDescent="0.25">
      <c r="X103" s="80" t="str">
        <f t="shared" si="3"/>
        <v/>
      </c>
      <c r="Y103" s="81"/>
      <c r="Z103" s="81"/>
      <c r="AA103" s="81"/>
      <c r="AB103" s="80" t="str">
        <f t="shared" si="4"/>
        <v/>
      </c>
      <c r="AC103" s="82" t="str">
        <f>IF(AB103&lt;=$F$16,IF($F$18=Лист2!$A$2,'Аннуитетное (с ндс)'!N109,IF('Калькулятор лизинга'!$F$18=Лист2!$A$3,Равномерное!N108,'Калькулятор лизинга'!Y103)),"")</f>
        <v/>
      </c>
      <c r="AD103" s="81"/>
      <c r="AE103" s="81"/>
      <c r="AF103" s="81"/>
      <c r="AG103" s="80" t="str">
        <f t="shared" si="5"/>
        <v/>
      </c>
      <c r="AH103" s="82" t="str">
        <f>IF(AG103&lt;=$O$16,IF($O$18=Лист2!$A$2,'Кредит аннуитет'!M108,'Кредит равномерное'!M108),"")</f>
        <v/>
      </c>
      <c r="AI103" s="81"/>
    </row>
    <row r="104" spans="24:35" s="79" customFormat="1" ht="15.75" x14ac:dyDescent="0.25">
      <c r="X104" s="80" t="str">
        <f t="shared" si="3"/>
        <v/>
      </c>
      <c r="Y104" s="81"/>
      <c r="Z104" s="81"/>
      <c r="AA104" s="81"/>
      <c r="AB104" s="80" t="str">
        <f t="shared" si="4"/>
        <v/>
      </c>
      <c r="AC104" s="82" t="str">
        <f>IF(AB104&lt;=$F$16,IF($F$18=Лист2!$A$2,'Аннуитетное (с ндс)'!N110,IF('Калькулятор лизинга'!$F$18=Лист2!$A$3,Равномерное!N109,'Калькулятор лизинга'!Y104)),"")</f>
        <v/>
      </c>
      <c r="AD104" s="81"/>
      <c r="AE104" s="81"/>
      <c r="AF104" s="81"/>
      <c r="AG104" s="80" t="str">
        <f t="shared" si="5"/>
        <v/>
      </c>
      <c r="AH104" s="82" t="str">
        <f>IF(AG104&lt;=$O$16,IF($O$18=Лист2!$A$2,'Кредит аннуитет'!M109,'Кредит равномерное'!M109),"")</f>
        <v/>
      </c>
      <c r="AI104" s="81"/>
    </row>
    <row r="105" spans="24:35" s="79" customFormat="1" ht="15.75" x14ac:dyDescent="0.25">
      <c r="X105" s="80" t="str">
        <f t="shared" si="3"/>
        <v/>
      </c>
      <c r="Y105" s="81"/>
      <c r="Z105" s="81"/>
      <c r="AA105" s="81"/>
      <c r="AB105" s="80" t="str">
        <f t="shared" si="4"/>
        <v/>
      </c>
      <c r="AC105" s="82" t="str">
        <f>IF(AB105&lt;=$F$16,IF($F$18=Лист2!$A$2,'Аннуитетное (с ндс)'!N111,IF('Калькулятор лизинга'!$F$18=Лист2!$A$3,Равномерное!N110,'Калькулятор лизинга'!Y105)),"")</f>
        <v/>
      </c>
      <c r="AD105" s="81"/>
      <c r="AE105" s="81"/>
      <c r="AF105" s="81"/>
      <c r="AG105" s="80" t="str">
        <f t="shared" si="5"/>
        <v/>
      </c>
      <c r="AH105" s="82" t="str">
        <f>IF(AG105&lt;=$O$16,IF($O$18=Лист2!$A$2,'Кредит аннуитет'!M110,'Кредит равномерное'!M110),"")</f>
        <v/>
      </c>
      <c r="AI105" s="81"/>
    </row>
    <row r="106" spans="24:35" s="79" customFormat="1" ht="15.75" x14ac:dyDescent="0.25">
      <c r="X106" s="80" t="str">
        <f t="shared" si="3"/>
        <v/>
      </c>
      <c r="Y106" s="81"/>
      <c r="Z106" s="81"/>
      <c r="AA106" s="81"/>
      <c r="AB106" s="80" t="str">
        <f t="shared" si="4"/>
        <v/>
      </c>
      <c r="AC106" s="82" t="str">
        <f>IF(AB106&lt;=$F$16,IF($F$18=Лист2!$A$2,'Аннуитетное (с ндс)'!N112,IF('Калькулятор лизинга'!$F$18=Лист2!$A$3,Равномерное!N111,'Калькулятор лизинга'!Y106)),"")</f>
        <v/>
      </c>
      <c r="AD106" s="81"/>
      <c r="AE106" s="81"/>
      <c r="AF106" s="81"/>
      <c r="AG106" s="80" t="str">
        <f t="shared" si="5"/>
        <v/>
      </c>
      <c r="AH106" s="82" t="str">
        <f>IF(AG106&lt;=$O$16,IF($O$18=Лист2!$A$2,'Кредит аннуитет'!M111,'Кредит равномерное'!M111),"")</f>
        <v/>
      </c>
      <c r="AI106" s="81"/>
    </row>
    <row r="107" spans="24:35" s="79" customFormat="1" ht="15.75" x14ac:dyDescent="0.25">
      <c r="X107" s="80" t="str">
        <f t="shared" si="3"/>
        <v/>
      </c>
      <c r="Y107" s="81"/>
      <c r="Z107" s="81"/>
      <c r="AA107" s="81"/>
      <c r="AB107" s="80" t="str">
        <f t="shared" si="4"/>
        <v/>
      </c>
      <c r="AC107" s="82" t="str">
        <f>IF(AB107&lt;=$F$16,IF($F$18=Лист2!$A$2,'Аннуитетное (с ндс)'!N113,IF('Калькулятор лизинга'!$F$18=Лист2!$A$3,Равномерное!N112,'Калькулятор лизинга'!Y107)),"")</f>
        <v/>
      </c>
      <c r="AD107" s="81"/>
      <c r="AE107" s="81"/>
      <c r="AF107" s="81"/>
      <c r="AG107" s="80" t="str">
        <f t="shared" si="5"/>
        <v/>
      </c>
      <c r="AH107" s="82" t="str">
        <f>IF(AG107&lt;=$O$16,IF($O$18=Лист2!$A$2,'Кредит аннуитет'!M112,'Кредит равномерное'!M112),"")</f>
        <v/>
      </c>
      <c r="AI107" s="81"/>
    </row>
    <row r="108" spans="24:35" s="79" customFormat="1" ht="15.75" x14ac:dyDescent="0.25">
      <c r="X108" s="80" t="str">
        <f t="shared" si="3"/>
        <v/>
      </c>
      <c r="Y108" s="81"/>
      <c r="Z108" s="81"/>
      <c r="AA108" s="81"/>
      <c r="AB108" s="80" t="str">
        <f t="shared" si="4"/>
        <v/>
      </c>
      <c r="AC108" s="82" t="str">
        <f>IF(AB108&lt;=$F$16,IF($F$18=Лист2!$A$2,'Аннуитетное (с ндс)'!N114,IF('Калькулятор лизинга'!$F$18=Лист2!$A$3,Равномерное!N113,'Калькулятор лизинга'!Y108)),"")</f>
        <v/>
      </c>
      <c r="AD108" s="81"/>
      <c r="AE108" s="81"/>
      <c r="AF108" s="81"/>
      <c r="AG108" s="80" t="str">
        <f t="shared" si="5"/>
        <v/>
      </c>
      <c r="AH108" s="82" t="str">
        <f>IF(AG108&lt;=$O$16,IF($O$18=Лист2!$A$2,'Кредит аннуитет'!M113,'Кредит равномерное'!M113),"")</f>
        <v/>
      </c>
      <c r="AI108" s="81"/>
    </row>
    <row r="109" spans="24:35" s="79" customFormat="1" ht="15.75" x14ac:dyDescent="0.25">
      <c r="X109" s="80" t="str">
        <f t="shared" si="3"/>
        <v/>
      </c>
      <c r="Y109" s="81"/>
      <c r="Z109" s="81"/>
      <c r="AA109" s="81"/>
      <c r="AB109" s="80" t="str">
        <f t="shared" si="4"/>
        <v/>
      </c>
      <c r="AC109" s="82" t="str">
        <f>IF(AB109&lt;=$F$16,IF($F$18=Лист2!$A$2,'Аннуитетное (с ндс)'!N115,IF('Калькулятор лизинга'!$F$18=Лист2!$A$3,Равномерное!N114,'Калькулятор лизинга'!Y109)),"")</f>
        <v/>
      </c>
      <c r="AD109" s="81"/>
      <c r="AE109" s="81"/>
      <c r="AF109" s="81"/>
      <c r="AG109" s="80" t="str">
        <f t="shared" si="5"/>
        <v/>
      </c>
      <c r="AH109" s="82" t="str">
        <f>IF(AG109&lt;=$O$16,IF($O$18=Лист2!$A$2,'Кредит аннуитет'!M114,'Кредит равномерное'!M114),"")</f>
        <v/>
      </c>
      <c r="AI109" s="81"/>
    </row>
    <row r="110" spans="24:35" s="79" customFormat="1" ht="15.75" x14ac:dyDescent="0.25">
      <c r="X110" s="80" t="str">
        <f t="shared" si="3"/>
        <v/>
      </c>
      <c r="Y110" s="81"/>
      <c r="Z110" s="81"/>
      <c r="AA110" s="81"/>
      <c r="AB110" s="80" t="str">
        <f t="shared" si="4"/>
        <v/>
      </c>
      <c r="AC110" s="82" t="str">
        <f>IF(AB110&lt;=$F$16,IF($F$18=Лист2!$A$2,'Аннуитетное (с ндс)'!N116,IF('Калькулятор лизинга'!$F$18=Лист2!$A$3,Равномерное!N115,'Калькулятор лизинга'!Y110)),"")</f>
        <v/>
      </c>
      <c r="AD110" s="81"/>
      <c r="AE110" s="81"/>
      <c r="AF110" s="81"/>
      <c r="AG110" s="80" t="str">
        <f t="shared" si="5"/>
        <v/>
      </c>
      <c r="AH110" s="82" t="str">
        <f>IF(AG110&lt;=$O$16,IF($O$18=Лист2!$A$2,'Кредит аннуитет'!M115,'Кредит равномерное'!M115),"")</f>
        <v/>
      </c>
      <c r="AI110" s="81"/>
    </row>
    <row r="111" spans="24:35" s="79" customFormat="1" ht="15.75" x14ac:dyDescent="0.25">
      <c r="X111" s="80" t="str">
        <f t="shared" si="3"/>
        <v/>
      </c>
      <c r="Y111" s="81"/>
      <c r="Z111" s="81"/>
      <c r="AA111" s="81"/>
      <c r="AB111" s="80" t="str">
        <f t="shared" si="4"/>
        <v/>
      </c>
      <c r="AC111" s="82" t="str">
        <f>IF(AB111&lt;=$F$16,IF($F$18=Лист2!$A$2,'Аннуитетное (с ндс)'!N117,IF('Калькулятор лизинга'!$F$18=Лист2!$A$3,Равномерное!N116,'Калькулятор лизинга'!Y111)),"")</f>
        <v/>
      </c>
      <c r="AD111" s="81"/>
      <c r="AE111" s="81"/>
      <c r="AF111" s="81"/>
      <c r="AG111" s="80" t="str">
        <f t="shared" si="5"/>
        <v/>
      </c>
      <c r="AH111" s="82" t="str">
        <f>IF(AG111&lt;=$O$16,IF($O$18=Лист2!$A$2,'Кредит аннуитет'!M116,'Кредит равномерное'!M116),"")</f>
        <v/>
      </c>
      <c r="AI111" s="81"/>
    </row>
    <row r="112" spans="24:35" s="79" customFormat="1" ht="15.75" x14ac:dyDescent="0.25">
      <c r="X112" s="80" t="str">
        <f t="shared" si="3"/>
        <v/>
      </c>
      <c r="Y112" s="81"/>
      <c r="Z112" s="81"/>
      <c r="AA112" s="81"/>
      <c r="AB112" s="80" t="str">
        <f t="shared" si="4"/>
        <v/>
      </c>
      <c r="AC112" s="82" t="str">
        <f>IF(AB112&lt;=$F$16,IF($F$18=Лист2!$A$2,'Аннуитетное (с ндс)'!N118,IF('Калькулятор лизинга'!$F$18=Лист2!$A$3,Равномерное!N117,'Калькулятор лизинга'!Y112)),"")</f>
        <v/>
      </c>
      <c r="AD112" s="81"/>
      <c r="AE112" s="81"/>
      <c r="AF112" s="81"/>
      <c r="AG112" s="80" t="str">
        <f t="shared" si="5"/>
        <v/>
      </c>
      <c r="AH112" s="82" t="str">
        <f>IF(AG112&lt;=$O$16,IF($O$18=Лист2!$A$2,'Кредит аннуитет'!M117,'Кредит равномерное'!M117),"")</f>
        <v/>
      </c>
      <c r="AI112" s="81"/>
    </row>
    <row r="113" spans="20:35" ht="15.75" x14ac:dyDescent="0.25">
      <c r="T113" s="39"/>
      <c r="U113" s="39"/>
      <c r="X113" s="53" t="str">
        <f t="shared" si="3"/>
        <v/>
      </c>
      <c r="Y113" s="52"/>
      <c r="Z113" s="52"/>
      <c r="AA113" s="52"/>
      <c r="AB113" s="53" t="str">
        <f t="shared" si="4"/>
        <v/>
      </c>
      <c r="AC113" s="50" t="str">
        <f>IF(AB113&lt;=$F$16,IF($F$18=Лист2!$A$2,'Аннуитетное (с ндс)'!N119,IF('Калькулятор лизинга'!$F$18=Лист2!$A$3,Равномерное!N118,'Калькулятор лизинга'!Y113)),"")</f>
        <v/>
      </c>
      <c r="AD113" s="52"/>
      <c r="AE113" s="52"/>
      <c r="AF113" s="52"/>
      <c r="AG113" s="53" t="str">
        <f t="shared" si="5"/>
        <v/>
      </c>
      <c r="AH113" s="50" t="str">
        <f>IF(AG113&lt;=$O$16,IF($O$18=Лист2!$A$2,'Кредит аннуитет'!M118,'Кредит равномерное'!M118),"")</f>
        <v/>
      </c>
      <c r="AI113" s="52"/>
    </row>
    <row r="114" spans="20:35" ht="15.75" x14ac:dyDescent="0.25">
      <c r="T114" s="39"/>
      <c r="U114" s="39"/>
      <c r="X114" s="53" t="str">
        <f t="shared" si="3"/>
        <v/>
      </c>
      <c r="Y114" s="52"/>
      <c r="Z114" s="52"/>
      <c r="AA114" s="52"/>
      <c r="AB114" s="53" t="str">
        <f t="shared" si="4"/>
        <v/>
      </c>
      <c r="AC114" s="50" t="str">
        <f>IF(AB114&lt;=$F$16,IF($F$18=Лист2!$A$2,'Аннуитетное (с ндс)'!N120,IF('Калькулятор лизинга'!$F$18=Лист2!$A$3,Равномерное!N119,'Калькулятор лизинга'!Y114)),"")</f>
        <v/>
      </c>
      <c r="AD114" s="52"/>
      <c r="AE114" s="52"/>
      <c r="AF114" s="52"/>
      <c r="AG114" s="53" t="str">
        <f t="shared" si="5"/>
        <v/>
      </c>
      <c r="AH114" s="50" t="str">
        <f>IF(AG114&lt;=$O$16,IF($O$18=Лист2!$A$2,'Кредит аннуитет'!M119,'Кредит равномерное'!M119),"")</f>
        <v/>
      </c>
      <c r="AI114" s="52"/>
    </row>
    <row r="115" spans="20:35" ht="15.75" x14ac:dyDescent="0.25">
      <c r="T115" s="39"/>
      <c r="U115" s="39"/>
      <c r="X115" s="53" t="str">
        <f t="shared" si="3"/>
        <v/>
      </c>
      <c r="Y115" s="52"/>
      <c r="Z115" s="52"/>
      <c r="AA115" s="52"/>
      <c r="AB115" s="53" t="str">
        <f t="shared" si="4"/>
        <v/>
      </c>
      <c r="AC115" s="50" t="str">
        <f>IF(AB115&lt;=$F$16,IF($F$18=Лист2!$A$2,'Аннуитетное (с ндс)'!N121,IF('Калькулятор лизинга'!$F$18=Лист2!$A$3,Равномерное!N120,'Калькулятор лизинга'!Y115)),"")</f>
        <v/>
      </c>
      <c r="AD115" s="52"/>
      <c r="AE115" s="52"/>
      <c r="AF115" s="52"/>
      <c r="AG115" s="53" t="str">
        <f t="shared" si="5"/>
        <v/>
      </c>
      <c r="AH115" s="50" t="str">
        <f>IF(AG115&lt;=$O$16,IF($O$18=Лист2!$A$2,'Кредит аннуитет'!M120,'Кредит равномерное'!M120),"")</f>
        <v/>
      </c>
      <c r="AI115" s="52"/>
    </row>
    <row r="116" spans="20:35" ht="15.75" x14ac:dyDescent="0.25">
      <c r="T116" s="39"/>
      <c r="U116" s="39"/>
      <c r="X116" s="53" t="str">
        <f t="shared" si="3"/>
        <v/>
      </c>
      <c r="Y116" s="52"/>
      <c r="Z116" s="52"/>
      <c r="AA116" s="52"/>
      <c r="AB116" s="53" t="str">
        <f t="shared" si="4"/>
        <v/>
      </c>
      <c r="AC116" s="50" t="str">
        <f>IF(AB116&lt;=$F$16,IF($F$18=Лист2!$A$2,'Аннуитетное (с ндс)'!N122,IF('Калькулятор лизинга'!$F$18=Лист2!$A$3,Равномерное!N121,'Калькулятор лизинга'!Y116)),"")</f>
        <v/>
      </c>
      <c r="AD116" s="52"/>
      <c r="AE116" s="52"/>
      <c r="AF116" s="52"/>
      <c r="AG116" s="53" t="str">
        <f t="shared" si="5"/>
        <v/>
      </c>
      <c r="AH116" s="50" t="str">
        <f>IF(AG116&lt;=$O$16,IF($O$18=Лист2!$A$2,'Кредит аннуитет'!M121,'Кредит равномерное'!M121),"")</f>
        <v/>
      </c>
      <c r="AI116" s="52"/>
    </row>
    <row r="117" spans="20:35" ht="15.75" x14ac:dyDescent="0.25">
      <c r="T117" s="39"/>
      <c r="U117" s="39"/>
      <c r="X117" s="53" t="str">
        <f t="shared" si="3"/>
        <v/>
      </c>
      <c r="Y117" s="52"/>
      <c r="Z117" s="52"/>
      <c r="AA117" s="52"/>
      <c r="AB117" s="53" t="str">
        <f t="shared" si="4"/>
        <v/>
      </c>
      <c r="AC117" s="50" t="str">
        <f>IF(AB117&lt;=$F$16,IF($F$18=Лист2!$A$2,'Аннуитетное (с ндс)'!N123,IF('Калькулятор лизинга'!$F$18=Лист2!$A$3,Равномерное!N122,'Калькулятор лизинга'!Y117)),"")</f>
        <v/>
      </c>
      <c r="AD117" s="52"/>
      <c r="AE117" s="52"/>
      <c r="AF117" s="52"/>
      <c r="AG117" s="53" t="str">
        <f t="shared" si="5"/>
        <v/>
      </c>
      <c r="AH117" s="50" t="str">
        <f>IF(AG117&lt;=$O$16,IF($O$18=Лист2!$A$2,'Кредит аннуитет'!M122,'Кредит равномерное'!M122),"")</f>
        <v/>
      </c>
      <c r="AI117" s="52"/>
    </row>
    <row r="118" spans="20:35" ht="15.75" x14ac:dyDescent="0.25">
      <c r="T118" s="39"/>
      <c r="U118" s="39"/>
      <c r="X118" s="53" t="str">
        <f t="shared" si="3"/>
        <v/>
      </c>
      <c r="Y118" s="52"/>
      <c r="Z118" s="52"/>
      <c r="AA118" s="52"/>
      <c r="AB118" s="53" t="str">
        <f t="shared" si="4"/>
        <v/>
      </c>
      <c r="AC118" s="50" t="str">
        <f>IF(AB118&lt;=$F$16,IF($F$18=Лист2!$A$2,'Аннуитетное (с ндс)'!N124,IF('Калькулятор лизинга'!$F$18=Лист2!$A$3,Равномерное!N123,'Калькулятор лизинга'!Y118)),"")</f>
        <v/>
      </c>
      <c r="AD118" s="52"/>
      <c r="AE118" s="52"/>
      <c r="AF118" s="52"/>
      <c r="AG118" s="53" t="str">
        <f t="shared" si="5"/>
        <v/>
      </c>
      <c r="AH118" s="50" t="str">
        <f>IF(AG118&lt;=$O$16,IF($O$18=Лист2!$A$2,'Кредит аннуитет'!M123,'Кредит равномерное'!M123),"")</f>
        <v/>
      </c>
      <c r="AI118" s="52"/>
    </row>
    <row r="119" spans="20:35" ht="15.75" x14ac:dyDescent="0.25">
      <c r="T119" s="39"/>
      <c r="U119" s="39"/>
      <c r="X119" s="53" t="str">
        <f t="shared" si="3"/>
        <v/>
      </c>
      <c r="Y119" s="52"/>
      <c r="Z119" s="52"/>
      <c r="AA119" s="52"/>
      <c r="AB119" s="53" t="str">
        <f t="shared" si="4"/>
        <v/>
      </c>
      <c r="AC119" s="50" t="str">
        <f>IF(AB119&lt;=$F$16,IF($F$18=Лист2!$A$2,'Аннуитетное (с ндс)'!N125,IF('Калькулятор лизинга'!$F$18=Лист2!$A$3,Равномерное!N124,'Калькулятор лизинга'!Y119)),"")</f>
        <v/>
      </c>
      <c r="AD119" s="52"/>
      <c r="AE119" s="52"/>
      <c r="AF119" s="52"/>
      <c r="AG119" s="53" t="str">
        <f t="shared" si="5"/>
        <v/>
      </c>
      <c r="AH119" s="50" t="str">
        <f>IF(AG119&lt;=$O$16,IF($O$18=Лист2!$A$2,'Кредит аннуитет'!M124,'Кредит равномерное'!M124),"")</f>
        <v/>
      </c>
      <c r="AI119" s="52"/>
    </row>
    <row r="120" spans="20:35" ht="15.75" x14ac:dyDescent="0.25">
      <c r="T120" s="39"/>
      <c r="U120" s="39"/>
      <c r="X120" s="53" t="str">
        <f t="shared" si="3"/>
        <v/>
      </c>
      <c r="Y120" s="52"/>
      <c r="Z120" s="52"/>
      <c r="AA120" s="52"/>
      <c r="AB120" s="53" t="str">
        <f t="shared" si="4"/>
        <v/>
      </c>
      <c r="AC120" s="50" t="str">
        <f>IF(AB120&lt;=$F$16,IF($F$18=Лист2!$A$2,'Аннуитетное (с ндс)'!N126,IF('Калькулятор лизинга'!$F$18=Лист2!$A$3,Равномерное!N125,'Калькулятор лизинга'!Y120)),"")</f>
        <v/>
      </c>
      <c r="AD120" s="52"/>
      <c r="AE120" s="52"/>
      <c r="AF120" s="52"/>
      <c r="AG120" s="53" t="str">
        <f t="shared" si="5"/>
        <v/>
      </c>
      <c r="AH120" s="50" t="str">
        <f>IF(AG120&lt;=$O$16,IF($O$18=Лист2!$A$2,'Кредит аннуитет'!M125,'Кредит равномерное'!M125),"")</f>
        <v/>
      </c>
      <c r="AI120" s="52"/>
    </row>
    <row r="121" spans="20:35" ht="15.75" x14ac:dyDescent="0.25">
      <c r="T121" s="39"/>
      <c r="U121" s="39"/>
      <c r="X121" s="53" t="str">
        <f t="shared" si="3"/>
        <v/>
      </c>
      <c r="Y121" s="52"/>
      <c r="Z121" s="52"/>
      <c r="AA121" s="52"/>
      <c r="AB121" s="53" t="str">
        <f t="shared" si="4"/>
        <v/>
      </c>
      <c r="AC121" s="50" t="str">
        <f>IF(AB121&lt;=$F$16,IF($F$18=Лист2!$A$2,'Аннуитетное (с ндс)'!N127,IF('Калькулятор лизинга'!$F$18=Лист2!$A$3,Равномерное!N126,'Калькулятор лизинга'!Y121)),"")</f>
        <v/>
      </c>
      <c r="AD121" s="52"/>
      <c r="AE121" s="52"/>
      <c r="AF121" s="52"/>
      <c r="AG121" s="53" t="str">
        <f t="shared" si="5"/>
        <v/>
      </c>
      <c r="AH121" s="50" t="str">
        <f>IF(AG121&lt;=$O$16,IF($O$18=Лист2!$A$2,'Кредит аннуитет'!M126,'Кредит равномерное'!M126),"")</f>
        <v/>
      </c>
      <c r="AI121" s="52"/>
    </row>
    <row r="122" spans="20:35" ht="15.75" x14ac:dyDescent="0.25">
      <c r="T122" s="39"/>
      <c r="U122" s="39"/>
      <c r="X122" s="53" t="str">
        <f t="shared" si="3"/>
        <v/>
      </c>
      <c r="Y122" s="52"/>
      <c r="Z122" s="52"/>
      <c r="AA122" s="52"/>
      <c r="AB122" s="53" t="str">
        <f t="shared" si="4"/>
        <v/>
      </c>
      <c r="AC122" s="50" t="str">
        <f>IF(AB122&lt;=$F$16,IF($F$18=Лист2!$A$2,'Аннуитетное (с ндс)'!N128,IF('Калькулятор лизинга'!$F$18=Лист2!$A$3,Равномерное!N127,'Калькулятор лизинга'!Y122)),"")</f>
        <v/>
      </c>
      <c r="AD122" s="52"/>
      <c r="AE122" s="52"/>
      <c r="AF122" s="52"/>
      <c r="AG122" s="53" t="str">
        <f t="shared" si="5"/>
        <v/>
      </c>
      <c r="AH122" s="50" t="str">
        <f>IF(AG122&lt;=$O$16,IF($O$18=Лист2!$A$2,'Кредит аннуитет'!M127,'Кредит равномерное'!M127),"")</f>
        <v/>
      </c>
      <c r="AI122" s="52"/>
    </row>
    <row r="123" spans="20:35" ht="15.75" x14ac:dyDescent="0.25">
      <c r="T123" s="39"/>
      <c r="U123" s="39"/>
      <c r="X123" s="53" t="str">
        <f t="shared" si="3"/>
        <v/>
      </c>
      <c r="Y123" s="52"/>
      <c r="Z123" s="52"/>
      <c r="AA123" s="52"/>
      <c r="AB123" s="53" t="str">
        <f t="shared" si="4"/>
        <v/>
      </c>
      <c r="AC123" s="50" t="str">
        <f>IF(AB123&lt;=$F$16,IF($F$18=Лист2!$A$2,'Аннуитетное (с ндс)'!N129,IF('Калькулятор лизинга'!$F$18=Лист2!$A$3,Равномерное!N128,'Калькулятор лизинга'!Y123)),"")</f>
        <v/>
      </c>
      <c r="AD123" s="52"/>
      <c r="AE123" s="52"/>
      <c r="AF123" s="52"/>
      <c r="AG123" s="53" t="str">
        <f t="shared" si="5"/>
        <v/>
      </c>
      <c r="AH123" s="50" t="str">
        <f>IF(AG123&lt;=$O$16,IF($O$18=Лист2!$A$2,'Кредит аннуитет'!M128,'Кредит равномерное'!M128),"")</f>
        <v/>
      </c>
      <c r="AI123" s="52"/>
    </row>
    <row r="124" spans="20:35" ht="15.75" x14ac:dyDescent="0.25">
      <c r="T124" s="39"/>
      <c r="U124" s="39"/>
      <c r="X124" s="53" t="str">
        <f t="shared" si="3"/>
        <v/>
      </c>
      <c r="Y124" s="52"/>
      <c r="Z124" s="52"/>
      <c r="AA124" s="52"/>
      <c r="AB124" s="53" t="str">
        <f t="shared" si="4"/>
        <v/>
      </c>
      <c r="AC124" s="50" t="str">
        <f>IF(AB124&lt;=$F$16,IF($F$18=Лист2!$A$2,'Аннуитетное (с ндс)'!N130,IF('Калькулятор лизинга'!$F$18=Лист2!$A$3,Равномерное!N129,'Калькулятор лизинга'!Y124)),"")</f>
        <v/>
      </c>
      <c r="AD124" s="52"/>
      <c r="AE124" s="52"/>
      <c r="AF124" s="52"/>
      <c r="AG124" s="53" t="str">
        <f t="shared" si="5"/>
        <v/>
      </c>
      <c r="AH124" s="50" t="str">
        <f>IF(AG124&lt;=$O$16,IF($O$18=Лист2!$A$2,'Кредит аннуитет'!M129,'Кредит равномерное'!M129),"")</f>
        <v/>
      </c>
      <c r="AI124" s="52"/>
    </row>
    <row r="125" spans="20:35" ht="15.75" x14ac:dyDescent="0.25">
      <c r="T125" s="39"/>
      <c r="U125" s="39"/>
      <c r="X125" s="53" t="str">
        <f t="shared" si="3"/>
        <v/>
      </c>
      <c r="Y125" s="52"/>
      <c r="Z125" s="52"/>
      <c r="AA125" s="52"/>
      <c r="AB125" s="53" t="str">
        <f t="shared" si="4"/>
        <v/>
      </c>
      <c r="AC125" s="50" t="str">
        <f>IF(AB125&lt;=$F$16,IF($F$18=Лист2!$A$2,'Аннуитетное (с ндс)'!N131,IF('Калькулятор лизинга'!$F$18=Лист2!$A$3,Равномерное!N130,'Калькулятор лизинга'!Y125)),"")</f>
        <v/>
      </c>
      <c r="AD125" s="52"/>
      <c r="AE125" s="52"/>
      <c r="AF125" s="52"/>
      <c r="AG125" s="53" t="str">
        <f t="shared" si="5"/>
        <v/>
      </c>
      <c r="AH125" s="50" t="str">
        <f>IF(AG125&lt;=$O$16,IF($O$18=Лист2!$A$2,'Кредит аннуитет'!M130,'Кредит равномерное'!M130),"")</f>
        <v/>
      </c>
      <c r="AI125" s="52"/>
    </row>
    <row r="126" spans="20:35" ht="15.75" x14ac:dyDescent="0.25">
      <c r="T126" s="39"/>
      <c r="U126" s="39"/>
      <c r="X126" s="53" t="str">
        <f t="shared" si="3"/>
        <v/>
      </c>
      <c r="Y126" s="52"/>
      <c r="Z126" s="52"/>
      <c r="AA126" s="52"/>
      <c r="AB126" s="53" t="str">
        <f t="shared" si="4"/>
        <v/>
      </c>
      <c r="AC126" s="50" t="str">
        <f>IF(AB126&lt;=$F$16,IF($F$18=Лист2!$A$2,'Аннуитетное (с ндс)'!N132,IF('Калькулятор лизинга'!$F$18=Лист2!$A$3,Равномерное!N131,'Калькулятор лизинга'!Y126)),"")</f>
        <v/>
      </c>
      <c r="AD126" s="52"/>
      <c r="AE126" s="52"/>
      <c r="AF126" s="52"/>
      <c r="AG126" s="53" t="str">
        <f t="shared" si="5"/>
        <v/>
      </c>
      <c r="AH126" s="50" t="str">
        <f>IF(AG126&lt;=$O$16,IF($O$18=Лист2!$A$2,'Кредит аннуитет'!M131,'Кредит равномерное'!M131),"")</f>
        <v/>
      </c>
      <c r="AI126" s="52"/>
    </row>
    <row r="127" spans="20:35" ht="15.75" x14ac:dyDescent="0.25">
      <c r="T127" s="39"/>
      <c r="U127" s="39"/>
      <c r="X127" s="53" t="str">
        <f t="shared" si="3"/>
        <v/>
      </c>
      <c r="Y127" s="52"/>
      <c r="Z127" s="52"/>
      <c r="AA127" s="52"/>
      <c r="AB127" s="53" t="str">
        <f t="shared" si="4"/>
        <v/>
      </c>
      <c r="AC127" s="50" t="str">
        <f>IF(AB127&lt;=$F$16,IF($F$18=Лист2!$A$2,'Аннуитетное (с ндс)'!N133,IF('Калькулятор лизинга'!$F$18=Лист2!$A$3,Равномерное!N132,'Калькулятор лизинга'!Y127)),"")</f>
        <v/>
      </c>
      <c r="AD127" s="52"/>
      <c r="AE127" s="52"/>
      <c r="AF127" s="52"/>
      <c r="AG127" s="53" t="str">
        <f t="shared" si="5"/>
        <v/>
      </c>
      <c r="AH127" s="50" t="str">
        <f>IF(AG127&lt;=$O$16,IF($O$18=Лист2!$A$2,'Кредит аннуитет'!M132,'Кредит равномерное'!M132),"")</f>
        <v/>
      </c>
      <c r="AI127" s="52"/>
    </row>
    <row r="128" spans="20:35" ht="15.75" x14ac:dyDescent="0.25">
      <c r="T128" s="39"/>
      <c r="U128" s="39"/>
      <c r="X128" s="53" t="str">
        <f t="shared" si="3"/>
        <v/>
      </c>
      <c r="Y128" s="52"/>
      <c r="Z128" s="52"/>
      <c r="AA128" s="52"/>
      <c r="AB128" s="53" t="str">
        <f t="shared" si="4"/>
        <v/>
      </c>
      <c r="AC128" s="50" t="str">
        <f>IF(AB128&lt;=$F$16,IF($F$18=Лист2!$A$2,'Аннуитетное (с ндс)'!N134,IF('Калькулятор лизинга'!$F$18=Лист2!$A$3,Равномерное!N133,'Калькулятор лизинга'!Y128)),"")</f>
        <v/>
      </c>
      <c r="AD128" s="52"/>
      <c r="AE128" s="52"/>
      <c r="AF128" s="52"/>
      <c r="AG128" s="53" t="str">
        <f t="shared" si="5"/>
        <v/>
      </c>
      <c r="AH128" s="50" t="str">
        <f>IF(AG128&lt;=$O$16,IF($O$18=Лист2!$A$2,'Кредит аннуитет'!M133,'Кредит равномерное'!M133),"")</f>
        <v/>
      </c>
      <c r="AI128" s="52"/>
    </row>
    <row r="129" spans="20:35" ht="15.75" x14ac:dyDescent="0.25">
      <c r="T129" s="39"/>
      <c r="U129" s="39"/>
      <c r="X129" s="53" t="str">
        <f t="shared" si="3"/>
        <v/>
      </c>
      <c r="Y129" s="52"/>
      <c r="Z129" s="52"/>
      <c r="AA129" s="52"/>
      <c r="AB129" s="53" t="str">
        <f t="shared" si="4"/>
        <v/>
      </c>
      <c r="AC129" s="50" t="str">
        <f>IF(AB129&lt;=$F$16,IF($F$18=Лист2!$A$2,'Аннуитетное (с ндс)'!N135,IF('Калькулятор лизинга'!$F$18=Лист2!$A$3,Равномерное!N134,'Калькулятор лизинга'!Y129)),"")</f>
        <v/>
      </c>
      <c r="AD129" s="52"/>
      <c r="AE129" s="52"/>
      <c r="AF129" s="52"/>
      <c r="AG129" s="53" t="str">
        <f t="shared" si="5"/>
        <v/>
      </c>
      <c r="AH129" s="50" t="str">
        <f>IF(AG129&lt;=$O$16,IF($O$18=Лист2!$A$2,'Кредит аннуитет'!M134,'Кредит равномерное'!M134),"")</f>
        <v/>
      </c>
      <c r="AI129" s="52"/>
    </row>
    <row r="130" spans="20:35" ht="15.75" x14ac:dyDescent="0.25">
      <c r="T130" s="39"/>
      <c r="U130" s="39"/>
      <c r="X130" s="53" t="str">
        <f t="shared" si="3"/>
        <v/>
      </c>
      <c r="Y130" s="52"/>
      <c r="Z130" s="52"/>
      <c r="AA130" s="52"/>
      <c r="AB130" s="53" t="str">
        <f t="shared" si="4"/>
        <v/>
      </c>
      <c r="AC130" s="50" t="str">
        <f>IF(AB130&lt;=$F$16,IF($F$18=Лист2!$A$2,'Аннуитетное (с ндс)'!N136,IF('Калькулятор лизинга'!$F$18=Лист2!$A$3,Равномерное!N135,'Калькулятор лизинга'!Y130)),"")</f>
        <v/>
      </c>
      <c r="AD130" s="52"/>
      <c r="AE130" s="52"/>
      <c r="AF130" s="52"/>
      <c r="AG130" s="53" t="str">
        <f t="shared" si="5"/>
        <v/>
      </c>
      <c r="AH130" s="50" t="str">
        <f>IF(AG130&lt;=$O$16,IF($O$18=Лист2!$A$2,'Кредит аннуитет'!M135,'Кредит равномерное'!M135),"")</f>
        <v/>
      </c>
      <c r="AI130" s="52"/>
    </row>
    <row r="131" spans="20:35" ht="15.75" x14ac:dyDescent="0.25">
      <c r="T131" s="39"/>
      <c r="U131" s="39"/>
      <c r="X131" s="53" t="str">
        <f t="shared" si="3"/>
        <v/>
      </c>
      <c r="Y131" s="52"/>
      <c r="Z131" s="52"/>
      <c r="AA131" s="52"/>
      <c r="AB131" s="53" t="str">
        <f t="shared" si="4"/>
        <v/>
      </c>
      <c r="AC131" s="50" t="str">
        <f>IF(AB131&lt;=$F$16,IF($F$18=Лист2!$A$2,'Аннуитетное (с ндс)'!N137,IF('Калькулятор лизинга'!$F$18=Лист2!$A$3,Равномерное!N136,'Калькулятор лизинга'!Y131)),"")</f>
        <v/>
      </c>
      <c r="AD131" s="52"/>
      <c r="AE131" s="52"/>
      <c r="AF131" s="52"/>
      <c r="AG131" s="53" t="str">
        <f t="shared" si="5"/>
        <v/>
      </c>
      <c r="AH131" s="50" t="str">
        <f>IF(AG131&lt;=$O$16,IF($O$18=Лист2!$A$2,'Кредит аннуитет'!M136,'Кредит равномерное'!M136),"")</f>
        <v/>
      </c>
      <c r="AI131" s="52"/>
    </row>
    <row r="132" spans="20:35" ht="15.75" x14ac:dyDescent="0.25">
      <c r="T132" s="39"/>
      <c r="U132" s="39"/>
      <c r="X132" s="53" t="str">
        <f t="shared" si="3"/>
        <v/>
      </c>
      <c r="Y132" s="52"/>
      <c r="Z132" s="52"/>
      <c r="AA132" s="52"/>
      <c r="AB132" s="53" t="str">
        <f t="shared" si="4"/>
        <v/>
      </c>
      <c r="AC132" s="50" t="str">
        <f>IF(AB132&lt;=$F$16,IF($F$18=Лист2!$A$2,'Аннуитетное (с ндс)'!N138,IF('Калькулятор лизинга'!$F$18=Лист2!$A$3,Равномерное!N137,'Калькулятор лизинга'!Y132)),"")</f>
        <v/>
      </c>
      <c r="AD132" s="52"/>
      <c r="AE132" s="52"/>
      <c r="AF132" s="52"/>
      <c r="AG132" s="53" t="str">
        <f t="shared" si="5"/>
        <v/>
      </c>
      <c r="AH132" s="50" t="str">
        <f>IF(AG132&lt;=$O$16,IF($O$18=Лист2!$A$2,'Кредит аннуитет'!M137,'Кредит равномерное'!M137),"")</f>
        <v/>
      </c>
      <c r="AI132" s="52"/>
    </row>
    <row r="133" spans="20:35" ht="15.75" x14ac:dyDescent="0.25">
      <c r="T133" s="39"/>
      <c r="U133" s="39"/>
      <c r="X133" s="53" t="str">
        <f t="shared" si="3"/>
        <v/>
      </c>
      <c r="Y133" s="52"/>
      <c r="Z133" s="52"/>
      <c r="AA133" s="52"/>
      <c r="AB133" s="53" t="str">
        <f t="shared" si="4"/>
        <v/>
      </c>
      <c r="AC133" s="50" t="str">
        <f>IF(AB133&lt;=$F$16,IF($F$18=Лист2!$A$2,'Аннуитетное (с ндс)'!N139,IF('Калькулятор лизинга'!$F$18=Лист2!$A$3,Равномерное!N138,'Калькулятор лизинга'!Y133)),"")</f>
        <v/>
      </c>
      <c r="AD133" s="52"/>
      <c r="AE133" s="52"/>
      <c r="AF133" s="52"/>
      <c r="AG133" s="53" t="str">
        <f t="shared" si="5"/>
        <v/>
      </c>
      <c r="AH133" s="50" t="str">
        <f>IF(AG133&lt;=$O$16,IF($O$18=Лист2!$A$2,'Кредит аннуитет'!M138,'Кредит равномерное'!M138),"")</f>
        <v/>
      </c>
      <c r="AI133" s="52"/>
    </row>
    <row r="134" spans="20:35" ht="15.75" x14ac:dyDescent="0.25">
      <c r="T134" s="39"/>
      <c r="U134" s="39"/>
      <c r="X134" s="53" t="str">
        <f t="shared" si="3"/>
        <v/>
      </c>
      <c r="Y134" s="52"/>
      <c r="Z134" s="52"/>
      <c r="AA134" s="52"/>
      <c r="AB134" s="53" t="str">
        <f t="shared" si="4"/>
        <v/>
      </c>
      <c r="AC134" s="50" t="str">
        <f>IF(AB134&lt;=$F$16,IF($F$18=Лист2!$A$2,'Аннуитетное (с ндс)'!N140,IF('Калькулятор лизинга'!$F$18=Лист2!$A$3,Равномерное!N139,'Калькулятор лизинга'!Y134)),"")</f>
        <v/>
      </c>
      <c r="AD134" s="52"/>
      <c r="AE134" s="52"/>
      <c r="AF134" s="52"/>
      <c r="AG134" s="53" t="str">
        <f t="shared" si="5"/>
        <v/>
      </c>
      <c r="AH134" s="50" t="str">
        <f>IF(AG134&lt;=$O$16,IF($O$18=Лист2!$A$2,'Кредит аннуитет'!M139,'Кредит равномерное'!M139),"")</f>
        <v/>
      </c>
      <c r="AI134" s="52"/>
    </row>
    <row r="135" spans="20:35" ht="15.75" x14ac:dyDescent="0.25">
      <c r="T135" s="39"/>
      <c r="U135" s="39"/>
      <c r="X135" s="53" t="str">
        <f t="shared" ref="X135:X198" si="6">IF(X134&lt;$F$16,X134+1,"")</f>
        <v/>
      </c>
      <c r="Y135" s="52"/>
      <c r="Z135" s="52"/>
      <c r="AA135" s="52"/>
      <c r="AB135" s="53" t="str">
        <f t="shared" ref="AB135:AB198" si="7">IF(AB134&lt;$F$16,AB134+1,"")</f>
        <v/>
      </c>
      <c r="AC135" s="50" t="str">
        <f>IF(AB135&lt;=$F$16,IF($F$18=Лист2!$A$2,'Аннуитетное (с ндс)'!N141,IF('Калькулятор лизинга'!$F$18=Лист2!$A$3,Равномерное!N140,'Калькулятор лизинга'!Y135)),"")</f>
        <v/>
      </c>
      <c r="AD135" s="52"/>
      <c r="AE135" s="52"/>
      <c r="AF135" s="52"/>
      <c r="AG135" s="53" t="str">
        <f t="shared" ref="AG135:AG198" si="8">IF(AG134&lt;$O$16,AG134+1,"")</f>
        <v/>
      </c>
      <c r="AH135" s="50" t="str">
        <f>IF(AG135&lt;=$O$16,IF($O$18=Лист2!$A$2,'Кредит аннуитет'!M140,'Кредит равномерное'!M140),"")</f>
        <v/>
      </c>
      <c r="AI135" s="52"/>
    </row>
    <row r="136" spans="20:35" ht="15.75" x14ac:dyDescent="0.25">
      <c r="T136" s="39"/>
      <c r="U136" s="39"/>
      <c r="X136" s="53" t="str">
        <f t="shared" si="6"/>
        <v/>
      </c>
      <c r="Y136" s="52"/>
      <c r="Z136" s="52"/>
      <c r="AA136" s="52"/>
      <c r="AB136" s="53" t="str">
        <f t="shared" si="7"/>
        <v/>
      </c>
      <c r="AC136" s="50" t="str">
        <f>IF(AB136&lt;=$F$16,IF($F$18=Лист2!$A$2,'Аннуитетное (с ндс)'!N142,IF('Калькулятор лизинга'!$F$18=Лист2!$A$3,Равномерное!N141,'Калькулятор лизинга'!Y136)),"")</f>
        <v/>
      </c>
      <c r="AD136" s="52"/>
      <c r="AE136" s="52"/>
      <c r="AF136" s="52"/>
      <c r="AG136" s="53" t="str">
        <f t="shared" si="8"/>
        <v/>
      </c>
      <c r="AH136" s="50" t="str">
        <f>IF(AG136&lt;=$O$16,IF($O$18=Лист2!$A$2,'Кредит аннуитет'!M141,'Кредит равномерное'!M141),"")</f>
        <v/>
      </c>
      <c r="AI136" s="52"/>
    </row>
    <row r="137" spans="20:35" ht="15.75" x14ac:dyDescent="0.25">
      <c r="T137" s="39"/>
      <c r="U137" s="39"/>
      <c r="X137" s="53" t="str">
        <f t="shared" si="6"/>
        <v/>
      </c>
      <c r="Y137" s="52"/>
      <c r="Z137" s="52"/>
      <c r="AA137" s="52"/>
      <c r="AB137" s="53" t="str">
        <f t="shared" si="7"/>
        <v/>
      </c>
      <c r="AC137" s="50" t="str">
        <f>IF(AB137&lt;=$F$16,IF($F$18=Лист2!$A$2,'Аннуитетное (с ндс)'!N143,IF('Калькулятор лизинга'!$F$18=Лист2!$A$3,Равномерное!N142,'Калькулятор лизинга'!Y137)),"")</f>
        <v/>
      </c>
      <c r="AD137" s="52"/>
      <c r="AE137" s="52"/>
      <c r="AF137" s="52"/>
      <c r="AG137" s="53" t="str">
        <f t="shared" si="8"/>
        <v/>
      </c>
      <c r="AH137" s="50" t="str">
        <f>IF(AG137&lt;=$O$16,IF($O$18=Лист2!$A$2,'Кредит аннуитет'!M142,'Кредит равномерное'!M142),"")</f>
        <v/>
      </c>
      <c r="AI137" s="52"/>
    </row>
    <row r="138" spans="20:35" ht="15.75" x14ac:dyDescent="0.25">
      <c r="T138" s="39"/>
      <c r="U138" s="39"/>
      <c r="X138" s="53" t="str">
        <f t="shared" si="6"/>
        <v/>
      </c>
      <c r="Y138" s="52"/>
      <c r="Z138" s="52"/>
      <c r="AA138" s="52"/>
      <c r="AB138" s="53" t="str">
        <f t="shared" si="7"/>
        <v/>
      </c>
      <c r="AC138" s="50" t="str">
        <f>IF(AB138&lt;=$F$16,IF($F$18=Лист2!$A$2,'Аннуитетное (с ндс)'!N144,IF('Калькулятор лизинга'!$F$18=Лист2!$A$3,Равномерное!N143,'Калькулятор лизинга'!Y138)),"")</f>
        <v/>
      </c>
      <c r="AD138" s="52"/>
      <c r="AE138" s="52"/>
      <c r="AF138" s="52"/>
      <c r="AG138" s="53" t="str">
        <f t="shared" si="8"/>
        <v/>
      </c>
      <c r="AH138" s="50" t="str">
        <f>IF(AG138&lt;=$O$16,IF($O$18=Лист2!$A$2,'Кредит аннуитет'!M143,'Кредит равномерное'!M143),"")</f>
        <v/>
      </c>
      <c r="AI138" s="52"/>
    </row>
    <row r="139" spans="20:35" ht="15.75" x14ac:dyDescent="0.25">
      <c r="T139" s="39"/>
      <c r="U139" s="39"/>
      <c r="X139" s="53" t="str">
        <f t="shared" si="6"/>
        <v/>
      </c>
      <c r="Y139" s="52"/>
      <c r="Z139" s="52"/>
      <c r="AA139" s="52"/>
      <c r="AB139" s="53" t="str">
        <f t="shared" si="7"/>
        <v/>
      </c>
      <c r="AC139" s="50" t="str">
        <f>IF(AB139&lt;=$F$16,IF($F$18=Лист2!$A$2,'Аннуитетное (с ндс)'!N145,IF('Калькулятор лизинга'!$F$18=Лист2!$A$3,Равномерное!N144,'Калькулятор лизинга'!Y139)),"")</f>
        <v/>
      </c>
      <c r="AD139" s="52"/>
      <c r="AE139" s="52"/>
      <c r="AF139" s="52"/>
      <c r="AG139" s="53" t="str">
        <f t="shared" si="8"/>
        <v/>
      </c>
      <c r="AH139" s="50" t="str">
        <f>IF(AG139&lt;=$O$16,IF($O$18=Лист2!$A$2,'Кредит аннуитет'!M144,'Кредит равномерное'!M144),"")</f>
        <v/>
      </c>
      <c r="AI139" s="52"/>
    </row>
    <row r="140" spans="20:35" ht="15.75" x14ac:dyDescent="0.25">
      <c r="T140" s="39"/>
      <c r="U140" s="39"/>
      <c r="X140" s="53" t="str">
        <f t="shared" si="6"/>
        <v/>
      </c>
      <c r="Y140" s="52"/>
      <c r="Z140" s="52"/>
      <c r="AA140" s="52"/>
      <c r="AB140" s="53" t="str">
        <f t="shared" si="7"/>
        <v/>
      </c>
      <c r="AC140" s="50" t="str">
        <f>IF(AB140&lt;=$F$16,IF($F$18=Лист2!$A$2,'Аннуитетное (с ндс)'!N146,IF('Калькулятор лизинга'!$F$18=Лист2!$A$3,Равномерное!N145,'Калькулятор лизинга'!Y140)),"")</f>
        <v/>
      </c>
      <c r="AD140" s="52"/>
      <c r="AE140" s="52"/>
      <c r="AF140" s="52"/>
      <c r="AG140" s="53" t="str">
        <f t="shared" si="8"/>
        <v/>
      </c>
      <c r="AH140" s="50" t="str">
        <f>IF(AG140&lt;=$O$16,IF($O$18=Лист2!$A$2,'Кредит аннуитет'!M145,'Кредит равномерное'!M145),"")</f>
        <v/>
      </c>
      <c r="AI140" s="52"/>
    </row>
    <row r="141" spans="20:35" ht="15.75" x14ac:dyDescent="0.25">
      <c r="T141" s="39"/>
      <c r="U141" s="39"/>
      <c r="X141" s="53" t="str">
        <f t="shared" si="6"/>
        <v/>
      </c>
      <c r="Y141" s="52"/>
      <c r="Z141" s="52"/>
      <c r="AA141" s="52"/>
      <c r="AB141" s="53" t="str">
        <f t="shared" si="7"/>
        <v/>
      </c>
      <c r="AC141" s="50" t="str">
        <f>IF(AB141&lt;=$F$16,IF($F$18=Лист2!$A$2,'Аннуитетное (с ндс)'!N147,IF('Калькулятор лизинга'!$F$18=Лист2!$A$3,Равномерное!N146,'Калькулятор лизинга'!Y141)),"")</f>
        <v/>
      </c>
      <c r="AD141" s="52"/>
      <c r="AE141" s="52"/>
      <c r="AF141" s="52"/>
      <c r="AG141" s="53" t="str">
        <f t="shared" si="8"/>
        <v/>
      </c>
      <c r="AH141" s="50" t="str">
        <f>IF(AG141&lt;=$O$16,IF($O$18=Лист2!$A$2,'Кредит аннуитет'!M146,'Кредит равномерное'!M146),"")</f>
        <v/>
      </c>
      <c r="AI141" s="52"/>
    </row>
    <row r="142" spans="20:35" ht="15.75" x14ac:dyDescent="0.25">
      <c r="T142" s="39"/>
      <c r="U142" s="39"/>
      <c r="X142" s="53" t="str">
        <f t="shared" si="6"/>
        <v/>
      </c>
      <c r="Y142" s="52"/>
      <c r="Z142" s="52"/>
      <c r="AA142" s="52"/>
      <c r="AB142" s="53" t="str">
        <f t="shared" si="7"/>
        <v/>
      </c>
      <c r="AC142" s="50" t="str">
        <f>IF(AB142&lt;=$F$16,IF($F$18=Лист2!$A$2,'Аннуитетное (с ндс)'!N148,IF('Калькулятор лизинга'!$F$18=Лист2!$A$3,Равномерное!N147,'Калькулятор лизинга'!Y142)),"")</f>
        <v/>
      </c>
      <c r="AD142" s="52"/>
      <c r="AE142" s="52"/>
      <c r="AF142" s="52"/>
      <c r="AG142" s="53" t="str">
        <f t="shared" si="8"/>
        <v/>
      </c>
      <c r="AH142" s="50" t="str">
        <f>IF(AG142&lt;=$O$16,IF($O$18=Лист2!$A$2,'Кредит аннуитет'!M147,'Кредит равномерное'!M147),"")</f>
        <v/>
      </c>
      <c r="AI142" s="52"/>
    </row>
    <row r="143" spans="20:35" ht="15.75" x14ac:dyDescent="0.25">
      <c r="X143" s="53" t="str">
        <f t="shared" si="6"/>
        <v/>
      </c>
      <c r="Y143" s="52"/>
      <c r="Z143" s="52"/>
      <c r="AA143" s="52"/>
      <c r="AB143" s="53" t="str">
        <f t="shared" si="7"/>
        <v/>
      </c>
      <c r="AC143" s="50" t="str">
        <f>IF(AB143&lt;=$F$16,IF($F$18=Лист2!$A$2,'Аннуитетное (с ндс)'!N149,IF('Калькулятор лизинга'!$F$18=Лист2!$A$3,Равномерное!N148,'Калькулятор лизинга'!Y143)),"")</f>
        <v/>
      </c>
      <c r="AD143" s="52"/>
      <c r="AE143" s="52"/>
      <c r="AF143" s="52"/>
      <c r="AG143" s="53" t="str">
        <f t="shared" si="8"/>
        <v/>
      </c>
      <c r="AH143" s="50" t="str">
        <f>IF(AG143&lt;=$O$16,IF($O$18=Лист2!$A$2,'Кредит аннуитет'!M148,'Кредит равномерное'!M148),"")</f>
        <v/>
      </c>
      <c r="AI143" s="52"/>
    </row>
    <row r="144" spans="20:35" ht="15.75" x14ac:dyDescent="0.25">
      <c r="X144" s="53" t="str">
        <f t="shared" si="6"/>
        <v/>
      </c>
      <c r="Y144" s="52"/>
      <c r="Z144" s="52"/>
      <c r="AA144" s="52"/>
      <c r="AB144" s="53" t="str">
        <f t="shared" si="7"/>
        <v/>
      </c>
      <c r="AC144" s="50" t="str">
        <f>IF(AB144&lt;=$F$16,IF($F$18=Лист2!$A$2,'Аннуитетное (с ндс)'!N150,IF('Калькулятор лизинга'!$F$18=Лист2!$A$3,Равномерное!N149,'Калькулятор лизинга'!Y144)),"")</f>
        <v/>
      </c>
      <c r="AD144" s="52"/>
      <c r="AE144" s="52"/>
      <c r="AF144" s="52"/>
      <c r="AG144" s="53" t="str">
        <f t="shared" si="8"/>
        <v/>
      </c>
      <c r="AH144" s="50" t="str">
        <f>IF(AG144&lt;=$O$16,IF($O$18=Лист2!$A$2,'Кредит аннуитет'!M149,'Кредит равномерное'!M149),"")</f>
        <v/>
      </c>
      <c r="AI144" s="52"/>
    </row>
    <row r="145" spans="24:35" ht="15.75" x14ac:dyDescent="0.25">
      <c r="X145" s="53" t="str">
        <f t="shared" si="6"/>
        <v/>
      </c>
      <c r="Y145" s="52"/>
      <c r="Z145" s="52"/>
      <c r="AA145" s="52"/>
      <c r="AB145" s="53" t="str">
        <f t="shared" si="7"/>
        <v/>
      </c>
      <c r="AC145" s="50" t="str">
        <f>IF(AB145&lt;=$F$16,IF($F$18=Лист2!$A$2,'Аннуитетное (с ндс)'!N151,IF('Калькулятор лизинга'!$F$18=Лист2!$A$3,Равномерное!N150,'Калькулятор лизинга'!Y145)),"")</f>
        <v/>
      </c>
      <c r="AD145" s="52"/>
      <c r="AE145" s="52"/>
      <c r="AF145" s="52"/>
      <c r="AG145" s="53" t="str">
        <f t="shared" si="8"/>
        <v/>
      </c>
      <c r="AH145" s="50" t="str">
        <f>IF(AG145&lt;=$O$16,IF($O$18=Лист2!$A$2,'Кредит аннуитет'!M150,'Кредит равномерное'!M150),"")</f>
        <v/>
      </c>
      <c r="AI145" s="52"/>
    </row>
    <row r="146" spans="24:35" ht="15.75" x14ac:dyDescent="0.25">
      <c r="X146" s="53" t="str">
        <f t="shared" si="6"/>
        <v/>
      </c>
      <c r="Y146" s="52"/>
      <c r="Z146" s="52"/>
      <c r="AA146" s="52"/>
      <c r="AB146" s="53" t="str">
        <f t="shared" si="7"/>
        <v/>
      </c>
      <c r="AC146" s="50" t="str">
        <f>IF(AB146&lt;=$F$16,IF($F$18=Лист2!$A$2,'Аннуитетное (с ндс)'!N152,IF('Калькулятор лизинга'!$F$18=Лист2!$A$3,Равномерное!N151,'Калькулятор лизинга'!Y146)),"")</f>
        <v/>
      </c>
      <c r="AD146" s="52"/>
      <c r="AE146" s="52"/>
      <c r="AF146" s="52"/>
      <c r="AG146" s="53" t="str">
        <f t="shared" si="8"/>
        <v/>
      </c>
      <c r="AH146" s="50" t="str">
        <f>IF(AG146&lt;=$O$16,IF($O$18=Лист2!$A$2,'Кредит аннуитет'!M151,'Кредит равномерное'!M151),"")</f>
        <v/>
      </c>
      <c r="AI146" s="52"/>
    </row>
    <row r="147" spans="24:35" ht="15.75" x14ac:dyDescent="0.25">
      <c r="X147" s="53" t="str">
        <f t="shared" si="6"/>
        <v/>
      </c>
      <c r="Y147" s="52"/>
      <c r="Z147" s="52"/>
      <c r="AA147" s="52"/>
      <c r="AB147" s="53" t="str">
        <f t="shared" si="7"/>
        <v/>
      </c>
      <c r="AC147" s="50" t="str">
        <f>IF(AB147&lt;=$F$16,IF($F$18=Лист2!$A$2,'Аннуитетное (с ндс)'!N153,IF('Калькулятор лизинга'!$F$18=Лист2!$A$3,Равномерное!N152,'Калькулятор лизинга'!Y147)),"")</f>
        <v/>
      </c>
      <c r="AD147" s="52"/>
      <c r="AE147" s="52"/>
      <c r="AF147" s="52"/>
      <c r="AG147" s="53" t="str">
        <f t="shared" si="8"/>
        <v/>
      </c>
      <c r="AH147" s="50" t="str">
        <f>IF(AG147&lt;=$O$16,IF($O$18=Лист2!$A$2,'Кредит аннуитет'!M152,'Кредит равномерное'!M152),"")</f>
        <v/>
      </c>
      <c r="AI147" s="52"/>
    </row>
    <row r="148" spans="24:35" ht="15.75" x14ac:dyDescent="0.25">
      <c r="X148" s="53" t="str">
        <f t="shared" si="6"/>
        <v/>
      </c>
      <c r="Y148" s="52"/>
      <c r="Z148" s="52"/>
      <c r="AA148" s="52"/>
      <c r="AB148" s="53" t="str">
        <f t="shared" si="7"/>
        <v/>
      </c>
      <c r="AC148" s="50" t="str">
        <f>IF(AB148&lt;=$F$16,IF($F$18=Лист2!$A$2,'Аннуитетное (с ндс)'!N154,IF('Калькулятор лизинга'!$F$18=Лист2!$A$3,Равномерное!N153,'Калькулятор лизинга'!Y148)),"")</f>
        <v/>
      </c>
      <c r="AD148" s="52"/>
      <c r="AE148" s="52"/>
      <c r="AF148" s="52"/>
      <c r="AG148" s="53" t="str">
        <f t="shared" si="8"/>
        <v/>
      </c>
      <c r="AH148" s="50" t="str">
        <f>IF(AG148&lt;=$O$16,IF($O$18=Лист2!$A$2,'Кредит аннуитет'!M153,'Кредит равномерное'!M153),"")</f>
        <v/>
      </c>
      <c r="AI148" s="52"/>
    </row>
    <row r="149" spans="24:35" ht="15.75" x14ac:dyDescent="0.25">
      <c r="X149" s="53" t="str">
        <f t="shared" si="6"/>
        <v/>
      </c>
      <c r="Y149" s="52"/>
      <c r="Z149" s="52"/>
      <c r="AA149" s="52"/>
      <c r="AB149" s="53" t="str">
        <f t="shared" si="7"/>
        <v/>
      </c>
      <c r="AC149" s="50" t="str">
        <f>IF(AB149&lt;=$F$16,IF($F$18=Лист2!$A$2,'Аннуитетное (с ндс)'!N155,IF('Калькулятор лизинга'!$F$18=Лист2!$A$3,Равномерное!N154,'Калькулятор лизинга'!Y149)),"")</f>
        <v/>
      </c>
      <c r="AD149" s="52"/>
      <c r="AE149" s="52"/>
      <c r="AF149" s="52"/>
      <c r="AG149" s="53" t="str">
        <f t="shared" si="8"/>
        <v/>
      </c>
      <c r="AH149" s="50" t="str">
        <f>IF(AG149&lt;=$O$16,IF($O$18=Лист2!$A$2,'Кредит аннуитет'!M154,'Кредит равномерное'!M154),"")</f>
        <v/>
      </c>
      <c r="AI149" s="52"/>
    </row>
    <row r="150" spans="24:35" ht="15.75" x14ac:dyDescent="0.25">
      <c r="X150" s="53" t="str">
        <f t="shared" si="6"/>
        <v/>
      </c>
      <c r="Y150" s="52"/>
      <c r="Z150" s="52"/>
      <c r="AA150" s="52"/>
      <c r="AB150" s="53" t="str">
        <f t="shared" si="7"/>
        <v/>
      </c>
      <c r="AC150" s="50" t="str">
        <f>IF(AB150&lt;=$F$16,IF($F$18=Лист2!$A$2,'Аннуитетное (с ндс)'!N156,IF('Калькулятор лизинга'!$F$18=Лист2!$A$3,Равномерное!N155,'Калькулятор лизинга'!Y150)),"")</f>
        <v/>
      </c>
      <c r="AD150" s="52"/>
      <c r="AE150" s="52"/>
      <c r="AF150" s="52"/>
      <c r="AG150" s="53" t="str">
        <f t="shared" si="8"/>
        <v/>
      </c>
      <c r="AH150" s="50" t="str">
        <f>IF(AG150&lt;=$O$16,IF($O$18=Лист2!$A$2,'Кредит аннуитет'!M155,'Кредит равномерное'!M155),"")</f>
        <v/>
      </c>
      <c r="AI150" s="52"/>
    </row>
    <row r="151" spans="24:35" ht="15.75" x14ac:dyDescent="0.25">
      <c r="X151" s="53" t="str">
        <f t="shared" si="6"/>
        <v/>
      </c>
      <c r="Y151" s="52"/>
      <c r="Z151" s="52"/>
      <c r="AA151" s="52"/>
      <c r="AB151" s="53" t="str">
        <f t="shared" si="7"/>
        <v/>
      </c>
      <c r="AC151" s="50" t="str">
        <f>IF(AB151&lt;=$F$16,IF($F$18=Лист2!$A$2,'Аннуитетное (с ндс)'!N157,IF('Калькулятор лизинга'!$F$18=Лист2!$A$3,Равномерное!N156,'Калькулятор лизинга'!Y151)),"")</f>
        <v/>
      </c>
      <c r="AD151" s="52"/>
      <c r="AE151" s="52"/>
      <c r="AF151" s="52"/>
      <c r="AG151" s="53" t="str">
        <f t="shared" si="8"/>
        <v/>
      </c>
      <c r="AH151" s="50" t="str">
        <f>IF(AG151&lt;=$O$16,IF($O$18=Лист2!$A$2,'Кредит аннуитет'!M156,'Кредит равномерное'!M156),"")</f>
        <v/>
      </c>
      <c r="AI151" s="52"/>
    </row>
    <row r="152" spans="24:35" ht="15.75" x14ac:dyDescent="0.25">
      <c r="X152" s="53" t="str">
        <f t="shared" si="6"/>
        <v/>
      </c>
      <c r="Y152" s="52"/>
      <c r="Z152" s="52"/>
      <c r="AA152" s="52"/>
      <c r="AB152" s="53" t="str">
        <f t="shared" si="7"/>
        <v/>
      </c>
      <c r="AC152" s="50" t="str">
        <f>IF(AB152&lt;=$F$16,IF($F$18=Лист2!$A$2,'Аннуитетное (с ндс)'!N158,IF('Калькулятор лизинга'!$F$18=Лист2!$A$3,Равномерное!N157,'Калькулятор лизинга'!Y152)),"")</f>
        <v/>
      </c>
      <c r="AD152" s="52"/>
      <c r="AE152" s="52"/>
      <c r="AF152" s="52"/>
      <c r="AG152" s="53" t="str">
        <f t="shared" si="8"/>
        <v/>
      </c>
      <c r="AH152" s="50" t="str">
        <f>IF(AG152&lt;=$O$16,IF($O$18=Лист2!$A$2,'Кредит аннуитет'!M157,'Кредит равномерное'!M157),"")</f>
        <v/>
      </c>
      <c r="AI152" s="52"/>
    </row>
    <row r="153" spans="24:35" ht="15.75" x14ac:dyDescent="0.25">
      <c r="X153" s="53" t="str">
        <f t="shared" si="6"/>
        <v/>
      </c>
      <c r="Y153" s="52"/>
      <c r="Z153" s="52"/>
      <c r="AA153" s="52"/>
      <c r="AB153" s="53" t="str">
        <f t="shared" si="7"/>
        <v/>
      </c>
      <c r="AC153" s="50" t="str">
        <f>IF(AB153&lt;=$F$16,IF($F$18=Лист2!$A$2,'Аннуитетное (с ндс)'!N159,IF('Калькулятор лизинга'!$F$18=Лист2!$A$3,Равномерное!N158,'Калькулятор лизинга'!Y153)),"")</f>
        <v/>
      </c>
      <c r="AD153" s="52"/>
      <c r="AE153" s="52"/>
      <c r="AF153" s="52"/>
      <c r="AG153" s="53" t="str">
        <f t="shared" si="8"/>
        <v/>
      </c>
      <c r="AH153" s="50" t="str">
        <f>IF(AG153&lt;=$O$16,IF($O$18=Лист2!$A$2,'Кредит аннуитет'!M158,'Кредит равномерное'!M158),"")</f>
        <v/>
      </c>
      <c r="AI153" s="52"/>
    </row>
    <row r="154" spans="24:35" ht="15.75" x14ac:dyDescent="0.25">
      <c r="X154" s="53" t="str">
        <f t="shared" si="6"/>
        <v/>
      </c>
      <c r="Y154" s="52"/>
      <c r="Z154" s="52"/>
      <c r="AA154" s="52"/>
      <c r="AB154" s="53" t="str">
        <f t="shared" si="7"/>
        <v/>
      </c>
      <c r="AC154" s="50" t="str">
        <f>IF(AB154&lt;=$F$16,IF($F$18=Лист2!$A$2,'Аннуитетное (с ндс)'!N160,IF('Калькулятор лизинга'!$F$18=Лист2!$A$3,Равномерное!N159,'Калькулятор лизинга'!Y154)),"")</f>
        <v/>
      </c>
      <c r="AD154" s="52"/>
      <c r="AE154" s="52"/>
      <c r="AF154" s="52"/>
      <c r="AG154" s="53" t="str">
        <f t="shared" si="8"/>
        <v/>
      </c>
      <c r="AH154" s="50" t="str">
        <f>IF(AG154&lt;=$O$16,IF($O$18=Лист2!$A$2,'Кредит аннуитет'!M159,'Кредит равномерное'!M159),"")</f>
        <v/>
      </c>
      <c r="AI154" s="52"/>
    </row>
    <row r="155" spans="24:35" ht="15.75" x14ac:dyDescent="0.25">
      <c r="X155" s="53" t="str">
        <f t="shared" si="6"/>
        <v/>
      </c>
      <c r="Y155" s="52"/>
      <c r="Z155" s="52"/>
      <c r="AA155" s="52"/>
      <c r="AB155" s="53" t="str">
        <f t="shared" si="7"/>
        <v/>
      </c>
      <c r="AC155" s="50" t="str">
        <f>IF(AB155&lt;=$F$16,IF($F$18=Лист2!$A$2,'Аннуитетное (с ндс)'!N161,IF('Калькулятор лизинга'!$F$18=Лист2!$A$3,Равномерное!N160,'Калькулятор лизинга'!Y155)),"")</f>
        <v/>
      </c>
      <c r="AD155" s="52"/>
      <c r="AE155" s="52"/>
      <c r="AF155" s="52"/>
      <c r="AG155" s="53" t="str">
        <f t="shared" si="8"/>
        <v/>
      </c>
      <c r="AH155" s="50" t="str">
        <f>IF(AG155&lt;=$O$16,IF($O$18=Лист2!$A$2,'Кредит аннуитет'!M160,'Кредит равномерное'!M160),"")</f>
        <v/>
      </c>
      <c r="AI155" s="52"/>
    </row>
    <row r="156" spans="24:35" ht="15.75" x14ac:dyDescent="0.25">
      <c r="X156" s="53" t="str">
        <f t="shared" si="6"/>
        <v/>
      </c>
      <c r="Y156" s="52"/>
      <c r="Z156" s="52"/>
      <c r="AA156" s="52"/>
      <c r="AB156" s="53" t="str">
        <f t="shared" si="7"/>
        <v/>
      </c>
      <c r="AC156" s="50" t="str">
        <f>IF(AB156&lt;=$F$16,IF($F$18=Лист2!$A$2,'Аннуитетное (с ндс)'!N162,IF('Калькулятор лизинга'!$F$18=Лист2!$A$3,Равномерное!N161,'Калькулятор лизинга'!Y156)),"")</f>
        <v/>
      </c>
      <c r="AD156" s="52"/>
      <c r="AE156" s="52"/>
      <c r="AF156" s="52"/>
      <c r="AG156" s="53" t="str">
        <f t="shared" si="8"/>
        <v/>
      </c>
      <c r="AH156" s="50" t="str">
        <f>IF(AG156&lt;=$O$16,IF($O$18=Лист2!$A$2,'Кредит аннуитет'!M161,'Кредит равномерное'!M161),"")</f>
        <v/>
      </c>
      <c r="AI156" s="52"/>
    </row>
    <row r="157" spans="24:35" ht="15.75" x14ac:dyDescent="0.25">
      <c r="X157" s="53" t="str">
        <f t="shared" si="6"/>
        <v/>
      </c>
      <c r="Y157" s="52"/>
      <c r="Z157" s="52"/>
      <c r="AA157" s="52"/>
      <c r="AB157" s="53" t="str">
        <f t="shared" si="7"/>
        <v/>
      </c>
      <c r="AC157" s="50" t="str">
        <f>IF(AB157&lt;=$F$16,IF($F$18=Лист2!$A$2,'Аннуитетное (с ндс)'!N163,IF('Калькулятор лизинга'!$F$18=Лист2!$A$3,Равномерное!N162,'Калькулятор лизинга'!Y157)),"")</f>
        <v/>
      </c>
      <c r="AD157" s="52"/>
      <c r="AE157" s="52"/>
      <c r="AF157" s="52"/>
      <c r="AG157" s="53" t="str">
        <f t="shared" si="8"/>
        <v/>
      </c>
      <c r="AH157" s="50" t="str">
        <f>IF(AG157&lt;=$O$16,IF($O$18=Лист2!$A$2,'Кредит аннуитет'!M162,'Кредит равномерное'!M162),"")</f>
        <v/>
      </c>
      <c r="AI157" s="52"/>
    </row>
    <row r="158" spans="24:35" ht="15.75" x14ac:dyDescent="0.25">
      <c r="X158" s="53" t="str">
        <f t="shared" si="6"/>
        <v/>
      </c>
      <c r="Y158" s="52"/>
      <c r="Z158" s="52"/>
      <c r="AA158" s="52"/>
      <c r="AB158" s="53" t="str">
        <f t="shared" si="7"/>
        <v/>
      </c>
      <c r="AC158" s="50" t="str">
        <f>IF(AB158&lt;=$F$16,IF($F$18=Лист2!$A$2,'Аннуитетное (с ндс)'!N164,IF('Калькулятор лизинга'!$F$18=Лист2!$A$3,Равномерное!N163,'Калькулятор лизинга'!Y158)),"")</f>
        <v/>
      </c>
      <c r="AD158" s="52"/>
      <c r="AE158" s="52"/>
      <c r="AF158" s="52"/>
      <c r="AG158" s="53" t="str">
        <f t="shared" si="8"/>
        <v/>
      </c>
      <c r="AH158" s="50" t="str">
        <f>IF(AG158&lt;=$O$16,IF($O$18=Лист2!$A$2,'Кредит аннуитет'!M163,'Кредит равномерное'!M163),"")</f>
        <v/>
      </c>
      <c r="AI158" s="52"/>
    </row>
    <row r="159" spans="24:35" ht="15.75" x14ac:dyDescent="0.25">
      <c r="X159" s="53" t="str">
        <f t="shared" si="6"/>
        <v/>
      </c>
      <c r="Y159" s="52"/>
      <c r="Z159" s="52"/>
      <c r="AA159" s="52"/>
      <c r="AB159" s="53" t="str">
        <f t="shared" si="7"/>
        <v/>
      </c>
      <c r="AC159" s="50" t="str">
        <f>IF(AB159&lt;=$F$16,IF($F$18=Лист2!$A$2,'Аннуитетное (с ндс)'!N165,IF('Калькулятор лизинга'!$F$18=Лист2!$A$3,Равномерное!N164,'Калькулятор лизинга'!Y159)),"")</f>
        <v/>
      </c>
      <c r="AD159" s="52"/>
      <c r="AE159" s="52"/>
      <c r="AF159" s="52"/>
      <c r="AG159" s="53" t="str">
        <f t="shared" si="8"/>
        <v/>
      </c>
      <c r="AH159" s="50" t="str">
        <f>IF(AG159&lt;=$O$16,IF($O$18=Лист2!$A$2,'Кредит аннуитет'!M164,'Кредит равномерное'!M164),"")</f>
        <v/>
      </c>
      <c r="AI159" s="52"/>
    </row>
    <row r="160" spans="24:35" ht="15.75" x14ac:dyDescent="0.25">
      <c r="X160" s="53" t="str">
        <f t="shared" si="6"/>
        <v/>
      </c>
      <c r="Y160" s="52"/>
      <c r="Z160" s="52"/>
      <c r="AA160" s="52"/>
      <c r="AB160" s="53" t="str">
        <f t="shared" si="7"/>
        <v/>
      </c>
      <c r="AC160" s="50" t="str">
        <f>IF(AB160&lt;=$F$16,IF($F$18=Лист2!$A$2,'Аннуитетное (с ндс)'!N166,IF('Калькулятор лизинга'!$F$18=Лист2!$A$3,Равномерное!N165,'Калькулятор лизинга'!Y160)),"")</f>
        <v/>
      </c>
      <c r="AD160" s="52"/>
      <c r="AE160" s="52"/>
      <c r="AF160" s="52"/>
      <c r="AG160" s="53" t="str">
        <f t="shared" si="8"/>
        <v/>
      </c>
      <c r="AH160" s="50" t="str">
        <f>IF(AG160&lt;=$O$16,IF($O$18=Лист2!$A$2,'Кредит аннуитет'!M165,'Кредит равномерное'!M165),"")</f>
        <v/>
      </c>
      <c r="AI160" s="52"/>
    </row>
    <row r="161" spans="24:35" ht="15.75" x14ac:dyDescent="0.25">
      <c r="X161" s="53" t="str">
        <f t="shared" si="6"/>
        <v/>
      </c>
      <c r="Y161" s="52"/>
      <c r="Z161" s="52"/>
      <c r="AA161" s="52"/>
      <c r="AB161" s="53" t="str">
        <f t="shared" si="7"/>
        <v/>
      </c>
      <c r="AC161" s="50" t="str">
        <f>IF(AB161&lt;=$F$16,IF($F$18=Лист2!$A$2,'Аннуитетное (с ндс)'!N167,IF('Калькулятор лизинга'!$F$18=Лист2!$A$3,Равномерное!N166,'Калькулятор лизинга'!Y161)),"")</f>
        <v/>
      </c>
      <c r="AD161" s="52"/>
      <c r="AE161" s="52"/>
      <c r="AF161" s="52"/>
      <c r="AG161" s="53" t="str">
        <f t="shared" si="8"/>
        <v/>
      </c>
      <c r="AH161" s="50" t="str">
        <f>IF(AG161&lt;=$O$16,IF($O$18=Лист2!$A$2,'Кредит аннуитет'!M166,'Кредит равномерное'!M166),"")</f>
        <v/>
      </c>
      <c r="AI161" s="52"/>
    </row>
    <row r="162" spans="24:35" ht="15.75" x14ac:dyDescent="0.25">
      <c r="X162" s="53" t="str">
        <f t="shared" si="6"/>
        <v/>
      </c>
      <c r="Y162" s="52"/>
      <c r="Z162" s="52"/>
      <c r="AA162" s="52"/>
      <c r="AB162" s="53" t="str">
        <f t="shared" si="7"/>
        <v/>
      </c>
      <c r="AC162" s="50" t="str">
        <f>IF(AB162&lt;=$F$16,IF($F$18=Лист2!$A$2,'Аннуитетное (с ндс)'!N168,IF('Калькулятор лизинга'!$F$18=Лист2!$A$3,Равномерное!N167,'Калькулятор лизинга'!Y162)),"")</f>
        <v/>
      </c>
      <c r="AD162" s="52"/>
      <c r="AE162" s="52"/>
      <c r="AF162" s="52"/>
      <c r="AG162" s="53" t="str">
        <f t="shared" si="8"/>
        <v/>
      </c>
      <c r="AH162" s="50" t="str">
        <f>IF(AG162&lt;=$O$16,IF($O$18=Лист2!$A$2,'Кредит аннуитет'!M167,'Кредит равномерное'!M167),"")</f>
        <v/>
      </c>
      <c r="AI162" s="52"/>
    </row>
    <row r="163" spans="24:35" ht="15.75" x14ac:dyDescent="0.25">
      <c r="X163" s="53" t="str">
        <f t="shared" si="6"/>
        <v/>
      </c>
      <c r="Y163" s="52"/>
      <c r="Z163" s="52"/>
      <c r="AA163" s="52"/>
      <c r="AB163" s="53" t="str">
        <f t="shared" si="7"/>
        <v/>
      </c>
      <c r="AC163" s="50" t="str">
        <f>IF(AB163&lt;=$F$16,IF($F$18=Лист2!$A$2,'Аннуитетное (с ндс)'!N169,IF('Калькулятор лизинга'!$F$18=Лист2!$A$3,Равномерное!N168,'Калькулятор лизинга'!Y163)),"")</f>
        <v/>
      </c>
      <c r="AD163" s="52"/>
      <c r="AE163" s="52"/>
      <c r="AF163" s="52"/>
      <c r="AG163" s="53" t="str">
        <f t="shared" si="8"/>
        <v/>
      </c>
      <c r="AH163" s="50" t="str">
        <f>IF(AG163&lt;=$O$16,IF($O$18=Лист2!$A$2,'Кредит аннуитет'!M168,'Кредит равномерное'!M168),"")</f>
        <v/>
      </c>
      <c r="AI163" s="52"/>
    </row>
    <row r="164" spans="24:35" ht="15.75" x14ac:dyDescent="0.25">
      <c r="X164" s="53" t="str">
        <f t="shared" si="6"/>
        <v/>
      </c>
      <c r="Y164" s="52"/>
      <c r="Z164" s="52"/>
      <c r="AA164" s="52"/>
      <c r="AB164" s="53" t="str">
        <f t="shared" si="7"/>
        <v/>
      </c>
      <c r="AC164" s="50" t="str">
        <f>IF(AB164&lt;=$F$16,IF($F$18=Лист2!$A$2,'Аннуитетное (с ндс)'!N170,IF('Калькулятор лизинга'!$F$18=Лист2!$A$3,Равномерное!N169,'Калькулятор лизинга'!Y164)),"")</f>
        <v/>
      </c>
      <c r="AD164" s="52"/>
      <c r="AE164" s="52"/>
      <c r="AF164" s="52"/>
      <c r="AG164" s="53" t="str">
        <f t="shared" si="8"/>
        <v/>
      </c>
      <c r="AH164" s="50" t="str">
        <f>IF(AG164&lt;=$O$16,IF($O$18=Лист2!$A$2,'Кредит аннуитет'!M169,'Кредит равномерное'!M169),"")</f>
        <v/>
      </c>
      <c r="AI164" s="52"/>
    </row>
    <row r="165" spans="24:35" ht="15.75" x14ac:dyDescent="0.25">
      <c r="X165" s="53" t="str">
        <f t="shared" si="6"/>
        <v/>
      </c>
      <c r="Y165" s="52"/>
      <c r="Z165" s="52"/>
      <c r="AA165" s="52"/>
      <c r="AB165" s="53" t="str">
        <f t="shared" si="7"/>
        <v/>
      </c>
      <c r="AC165" s="50" t="str">
        <f>IF(AB165&lt;=$F$16,IF($F$18=Лист2!$A$2,'Аннуитетное (с ндс)'!N171,IF('Калькулятор лизинга'!$F$18=Лист2!$A$3,Равномерное!N170,'Калькулятор лизинга'!Y165)),"")</f>
        <v/>
      </c>
      <c r="AD165" s="52"/>
      <c r="AE165" s="52"/>
      <c r="AF165" s="52"/>
      <c r="AG165" s="53" t="str">
        <f t="shared" si="8"/>
        <v/>
      </c>
      <c r="AH165" s="50" t="str">
        <f>IF(AG165&lt;=$O$16,IF($O$18=Лист2!$A$2,'Кредит аннуитет'!M170,'Кредит равномерное'!M170),"")</f>
        <v/>
      </c>
      <c r="AI165" s="52"/>
    </row>
    <row r="166" spans="24:35" ht="15.75" x14ac:dyDescent="0.25">
      <c r="X166" s="53" t="str">
        <f t="shared" si="6"/>
        <v/>
      </c>
      <c r="Y166" s="52"/>
      <c r="Z166" s="52"/>
      <c r="AA166" s="52"/>
      <c r="AB166" s="53" t="str">
        <f t="shared" si="7"/>
        <v/>
      </c>
      <c r="AC166" s="50" t="str">
        <f>IF(AB166&lt;=$F$16,IF($F$18=Лист2!$A$2,'Аннуитетное (с ндс)'!N172,IF('Калькулятор лизинга'!$F$18=Лист2!$A$3,Равномерное!N171,'Калькулятор лизинга'!Y166)),"")</f>
        <v/>
      </c>
      <c r="AD166" s="52"/>
      <c r="AE166" s="52"/>
      <c r="AF166" s="52"/>
      <c r="AG166" s="53" t="str">
        <f t="shared" si="8"/>
        <v/>
      </c>
      <c r="AH166" s="50" t="str">
        <f>IF(AG166&lt;=$O$16,IF($O$18=Лист2!$A$2,'Кредит аннуитет'!M171,'Кредит равномерное'!M171),"")</f>
        <v/>
      </c>
      <c r="AI166" s="52"/>
    </row>
    <row r="167" spans="24:35" ht="15.75" x14ac:dyDescent="0.25">
      <c r="X167" s="53" t="str">
        <f t="shared" si="6"/>
        <v/>
      </c>
      <c r="Y167" s="52"/>
      <c r="Z167" s="52"/>
      <c r="AA167" s="52"/>
      <c r="AB167" s="53" t="str">
        <f t="shared" si="7"/>
        <v/>
      </c>
      <c r="AC167" s="50" t="str">
        <f>IF(AB167&lt;=$F$16,IF($F$18=Лист2!$A$2,'Аннуитетное (с ндс)'!N173,IF('Калькулятор лизинга'!$F$18=Лист2!$A$3,Равномерное!N172,'Калькулятор лизинга'!Y167)),"")</f>
        <v/>
      </c>
      <c r="AD167" s="52"/>
      <c r="AE167" s="52"/>
      <c r="AF167" s="52"/>
      <c r="AG167" s="53" t="str">
        <f t="shared" si="8"/>
        <v/>
      </c>
      <c r="AH167" s="50" t="str">
        <f>IF(AG167&lt;=$O$16,IF($O$18=Лист2!$A$2,'Кредит аннуитет'!M172,'Кредит равномерное'!M172),"")</f>
        <v/>
      </c>
      <c r="AI167" s="52"/>
    </row>
    <row r="168" spans="24:35" ht="15.75" x14ac:dyDescent="0.25">
      <c r="X168" s="53" t="str">
        <f t="shared" si="6"/>
        <v/>
      </c>
      <c r="Y168" s="52"/>
      <c r="Z168" s="52"/>
      <c r="AA168" s="52"/>
      <c r="AB168" s="53" t="str">
        <f t="shared" si="7"/>
        <v/>
      </c>
      <c r="AC168" s="50" t="str">
        <f>IF(AB168&lt;=$F$16,IF($F$18=Лист2!$A$2,'Аннуитетное (с ндс)'!N174,IF('Калькулятор лизинга'!$F$18=Лист2!$A$3,Равномерное!N173,'Калькулятор лизинга'!Y168)),"")</f>
        <v/>
      </c>
      <c r="AD168" s="52"/>
      <c r="AE168" s="52"/>
      <c r="AF168" s="52"/>
      <c r="AG168" s="53" t="str">
        <f t="shared" si="8"/>
        <v/>
      </c>
      <c r="AH168" s="50" t="str">
        <f>IF(AG168&lt;=$O$16,IF($O$18=Лист2!$A$2,'Кредит аннуитет'!M173,'Кредит равномерное'!M173),"")</f>
        <v/>
      </c>
      <c r="AI168" s="52"/>
    </row>
    <row r="169" spans="24:35" ht="15.75" x14ac:dyDescent="0.25">
      <c r="X169" s="53" t="str">
        <f t="shared" si="6"/>
        <v/>
      </c>
      <c r="Y169" s="52"/>
      <c r="Z169" s="52"/>
      <c r="AA169" s="52"/>
      <c r="AB169" s="53" t="str">
        <f t="shared" si="7"/>
        <v/>
      </c>
      <c r="AC169" s="50" t="str">
        <f>IF(AB169&lt;=$F$16,IF($F$18=Лист2!$A$2,'Аннуитетное (с ндс)'!N175,IF('Калькулятор лизинга'!$F$18=Лист2!$A$3,Равномерное!N174,'Калькулятор лизинга'!Y169)),"")</f>
        <v/>
      </c>
      <c r="AD169" s="52"/>
      <c r="AE169" s="52"/>
      <c r="AF169" s="52"/>
      <c r="AG169" s="53" t="str">
        <f t="shared" si="8"/>
        <v/>
      </c>
      <c r="AH169" s="50" t="str">
        <f>IF(AG169&lt;=$O$16,IF($O$18=Лист2!$A$2,'Кредит аннуитет'!M174,'Кредит равномерное'!M174),"")</f>
        <v/>
      </c>
      <c r="AI169" s="52"/>
    </row>
    <row r="170" spans="24:35" ht="15.75" x14ac:dyDescent="0.25">
      <c r="X170" s="53" t="str">
        <f t="shared" si="6"/>
        <v/>
      </c>
      <c r="Y170" s="52"/>
      <c r="Z170" s="52"/>
      <c r="AA170" s="52"/>
      <c r="AB170" s="53" t="str">
        <f t="shared" si="7"/>
        <v/>
      </c>
      <c r="AC170" s="50" t="str">
        <f>IF(AB170&lt;=$F$16,IF($F$18=Лист2!$A$2,'Аннуитетное (с ндс)'!N176,IF('Калькулятор лизинга'!$F$18=Лист2!$A$3,Равномерное!N175,'Калькулятор лизинга'!Y170)),"")</f>
        <v/>
      </c>
      <c r="AD170" s="52"/>
      <c r="AE170" s="52"/>
      <c r="AF170" s="52"/>
      <c r="AG170" s="53" t="str">
        <f t="shared" si="8"/>
        <v/>
      </c>
      <c r="AH170" s="50" t="str">
        <f>IF(AG170&lt;=$O$16,IF($O$18=Лист2!$A$2,'Кредит аннуитет'!M175,'Кредит равномерное'!M175),"")</f>
        <v/>
      </c>
      <c r="AI170" s="52"/>
    </row>
    <row r="171" spans="24:35" ht="15.75" x14ac:dyDescent="0.25">
      <c r="X171" s="53" t="str">
        <f t="shared" si="6"/>
        <v/>
      </c>
      <c r="Y171" s="52"/>
      <c r="Z171" s="52"/>
      <c r="AA171" s="52"/>
      <c r="AB171" s="53" t="str">
        <f t="shared" si="7"/>
        <v/>
      </c>
      <c r="AC171" s="50" t="str">
        <f>IF(AB171&lt;=$F$16,IF($F$18=Лист2!$A$2,'Аннуитетное (с ндс)'!N177,IF('Калькулятор лизинга'!$F$18=Лист2!$A$3,Равномерное!N176,'Калькулятор лизинга'!Y171)),"")</f>
        <v/>
      </c>
      <c r="AD171" s="52"/>
      <c r="AE171" s="52"/>
      <c r="AF171" s="52"/>
      <c r="AG171" s="53" t="str">
        <f t="shared" si="8"/>
        <v/>
      </c>
      <c r="AH171" s="50" t="str">
        <f>IF(AG171&lt;=$O$16,IF($O$18=Лист2!$A$2,'Кредит аннуитет'!M176,'Кредит равномерное'!M176),"")</f>
        <v/>
      </c>
      <c r="AI171" s="52"/>
    </row>
    <row r="172" spans="24:35" ht="15.75" x14ac:dyDescent="0.25">
      <c r="X172" s="53" t="str">
        <f t="shared" si="6"/>
        <v/>
      </c>
      <c r="Y172" s="52"/>
      <c r="Z172" s="52"/>
      <c r="AA172" s="52"/>
      <c r="AB172" s="53" t="str">
        <f t="shared" si="7"/>
        <v/>
      </c>
      <c r="AC172" s="50" t="str">
        <f>IF(AB172&lt;=$F$16,IF($F$18=Лист2!$A$2,'Аннуитетное (с ндс)'!N178,IF('Калькулятор лизинга'!$F$18=Лист2!$A$3,Равномерное!N177,'Калькулятор лизинга'!Y172)),"")</f>
        <v/>
      </c>
      <c r="AD172" s="52"/>
      <c r="AE172" s="52"/>
      <c r="AF172" s="52"/>
      <c r="AG172" s="53" t="str">
        <f t="shared" si="8"/>
        <v/>
      </c>
      <c r="AH172" s="50" t="str">
        <f>IF(AG172&lt;=$O$16,IF($O$18=Лист2!$A$2,'Кредит аннуитет'!M177,'Кредит равномерное'!M177),"")</f>
        <v/>
      </c>
      <c r="AI172" s="52"/>
    </row>
    <row r="173" spans="24:35" ht="15.75" x14ac:dyDescent="0.25">
      <c r="X173" s="53" t="str">
        <f t="shared" si="6"/>
        <v/>
      </c>
      <c r="Y173" s="52"/>
      <c r="Z173" s="52"/>
      <c r="AA173" s="52"/>
      <c r="AB173" s="53" t="str">
        <f t="shared" si="7"/>
        <v/>
      </c>
      <c r="AC173" s="50" t="str">
        <f>IF(AB173&lt;=$F$16,IF($F$18=Лист2!$A$2,'Аннуитетное (с ндс)'!N179,IF('Калькулятор лизинга'!$F$18=Лист2!$A$3,Равномерное!N178,'Калькулятор лизинга'!Y173)),"")</f>
        <v/>
      </c>
      <c r="AD173" s="52"/>
      <c r="AE173" s="52"/>
      <c r="AF173" s="52"/>
      <c r="AG173" s="53" t="str">
        <f t="shared" si="8"/>
        <v/>
      </c>
      <c r="AH173" s="50" t="str">
        <f>IF(AG173&lt;=$O$16,IF($O$18=Лист2!$A$2,'Кредит аннуитет'!M178,'Кредит равномерное'!M178),"")</f>
        <v/>
      </c>
      <c r="AI173" s="52"/>
    </row>
    <row r="174" spans="24:35" ht="15.75" x14ac:dyDescent="0.25">
      <c r="X174" s="53" t="str">
        <f t="shared" si="6"/>
        <v/>
      </c>
      <c r="Y174" s="52"/>
      <c r="Z174" s="52"/>
      <c r="AA174" s="52"/>
      <c r="AB174" s="53" t="str">
        <f t="shared" si="7"/>
        <v/>
      </c>
      <c r="AC174" s="50" t="str">
        <f>IF(AB174&lt;=$F$16,IF($F$18=Лист2!$A$2,'Аннуитетное (с ндс)'!N180,IF('Калькулятор лизинга'!$F$18=Лист2!$A$3,Равномерное!N179,'Калькулятор лизинга'!Y174)),"")</f>
        <v/>
      </c>
      <c r="AD174" s="52"/>
      <c r="AE174" s="52"/>
      <c r="AF174" s="52"/>
      <c r="AG174" s="53" t="str">
        <f t="shared" si="8"/>
        <v/>
      </c>
      <c r="AH174" s="50" t="str">
        <f>IF(AG174&lt;=$O$16,IF($O$18=Лист2!$A$2,'Кредит аннуитет'!M179,'Кредит равномерное'!M179),"")</f>
        <v/>
      </c>
      <c r="AI174" s="52"/>
    </row>
    <row r="175" spans="24:35" ht="15.75" x14ac:dyDescent="0.25">
      <c r="X175" s="53" t="str">
        <f t="shared" si="6"/>
        <v/>
      </c>
      <c r="Y175" s="52"/>
      <c r="Z175" s="52"/>
      <c r="AA175" s="52"/>
      <c r="AB175" s="53" t="str">
        <f t="shared" si="7"/>
        <v/>
      </c>
      <c r="AC175" s="50" t="str">
        <f>IF(AB175&lt;=$F$16,IF($F$18=Лист2!$A$2,'Аннуитетное (с ндс)'!N181,IF('Калькулятор лизинга'!$F$18=Лист2!$A$3,Равномерное!N180,'Калькулятор лизинга'!Y175)),"")</f>
        <v/>
      </c>
      <c r="AD175" s="52"/>
      <c r="AE175" s="52"/>
      <c r="AF175" s="52"/>
      <c r="AG175" s="53" t="str">
        <f t="shared" si="8"/>
        <v/>
      </c>
      <c r="AH175" s="50" t="str">
        <f>IF(AG175&lt;=$O$16,IF($O$18=Лист2!$A$2,'Кредит аннуитет'!M180,'Кредит равномерное'!M180),"")</f>
        <v/>
      </c>
      <c r="AI175" s="52"/>
    </row>
    <row r="176" spans="24:35" ht="15.75" x14ac:dyDescent="0.25">
      <c r="X176" s="53" t="str">
        <f t="shared" si="6"/>
        <v/>
      </c>
      <c r="Y176" s="52"/>
      <c r="Z176" s="52"/>
      <c r="AA176" s="52"/>
      <c r="AB176" s="53" t="str">
        <f t="shared" si="7"/>
        <v/>
      </c>
      <c r="AC176" s="50" t="str">
        <f>IF(AB176&lt;=$F$16,IF($F$18=Лист2!$A$2,'Аннуитетное (с ндс)'!N182,IF('Калькулятор лизинга'!$F$18=Лист2!$A$3,Равномерное!N181,'Калькулятор лизинга'!Y176)),"")</f>
        <v/>
      </c>
      <c r="AD176" s="52"/>
      <c r="AE176" s="52"/>
      <c r="AF176" s="52"/>
      <c r="AG176" s="53" t="str">
        <f t="shared" si="8"/>
        <v/>
      </c>
      <c r="AH176" s="50" t="str">
        <f>IF(AG176&lt;=$O$16,IF($O$18=Лист2!$A$2,'Кредит аннуитет'!M181,'Кредит равномерное'!M181),"")</f>
        <v/>
      </c>
      <c r="AI176" s="52"/>
    </row>
    <row r="177" spans="24:35" ht="15.75" x14ac:dyDescent="0.25">
      <c r="X177" s="53" t="str">
        <f t="shared" si="6"/>
        <v/>
      </c>
      <c r="Y177" s="52"/>
      <c r="Z177" s="52"/>
      <c r="AA177" s="52"/>
      <c r="AB177" s="53" t="str">
        <f t="shared" si="7"/>
        <v/>
      </c>
      <c r="AC177" s="50" t="str">
        <f>IF(AB177&lt;=$F$16,IF($F$18=Лист2!$A$2,'Аннуитетное (с ндс)'!N183,IF('Калькулятор лизинга'!$F$18=Лист2!$A$3,Равномерное!N182,'Калькулятор лизинга'!Y177)),"")</f>
        <v/>
      </c>
      <c r="AD177" s="52"/>
      <c r="AE177" s="52"/>
      <c r="AF177" s="52"/>
      <c r="AG177" s="53" t="str">
        <f t="shared" si="8"/>
        <v/>
      </c>
      <c r="AH177" s="50" t="str">
        <f>IF(AG177&lt;=$O$16,IF($O$18=Лист2!$A$2,'Кредит аннуитет'!M182,'Кредит равномерное'!M182),"")</f>
        <v/>
      </c>
      <c r="AI177" s="52"/>
    </row>
    <row r="178" spans="24:35" ht="15.75" x14ac:dyDescent="0.25">
      <c r="X178" s="53" t="str">
        <f t="shared" si="6"/>
        <v/>
      </c>
      <c r="Y178" s="52"/>
      <c r="Z178" s="52"/>
      <c r="AA178" s="52"/>
      <c r="AB178" s="53" t="str">
        <f t="shared" si="7"/>
        <v/>
      </c>
      <c r="AC178" s="50" t="str">
        <f>IF(AB178&lt;=$F$16,IF($F$18=Лист2!$A$2,'Аннуитетное (с ндс)'!N184,IF('Калькулятор лизинга'!$F$18=Лист2!$A$3,Равномерное!N183,'Калькулятор лизинга'!Y178)),"")</f>
        <v/>
      </c>
      <c r="AD178" s="52"/>
      <c r="AE178" s="52"/>
      <c r="AF178" s="52"/>
      <c r="AG178" s="53" t="str">
        <f t="shared" si="8"/>
        <v/>
      </c>
      <c r="AH178" s="50" t="str">
        <f>IF(AG178&lt;=$O$16,IF($O$18=Лист2!$A$2,'Кредит аннуитет'!M183,'Кредит равномерное'!M183),"")</f>
        <v/>
      </c>
      <c r="AI178" s="52"/>
    </row>
    <row r="179" spans="24:35" ht="15.75" x14ac:dyDescent="0.25">
      <c r="X179" s="53" t="str">
        <f t="shared" si="6"/>
        <v/>
      </c>
      <c r="Y179" s="52"/>
      <c r="Z179" s="52"/>
      <c r="AA179" s="52"/>
      <c r="AB179" s="53" t="str">
        <f t="shared" si="7"/>
        <v/>
      </c>
      <c r="AC179" s="50" t="str">
        <f>IF(AB179&lt;=$F$16,IF($F$18=Лист2!$A$2,'Аннуитетное (с ндс)'!N185,IF('Калькулятор лизинга'!$F$18=Лист2!$A$3,Равномерное!N184,'Калькулятор лизинга'!Y179)),"")</f>
        <v/>
      </c>
      <c r="AD179" s="52"/>
      <c r="AE179" s="52"/>
      <c r="AF179" s="52"/>
      <c r="AG179" s="53" t="str">
        <f t="shared" si="8"/>
        <v/>
      </c>
      <c r="AH179" s="50" t="str">
        <f>IF(AG179&lt;=$O$16,IF($O$18=Лист2!$A$2,'Кредит аннуитет'!M184,'Кредит равномерное'!M184),"")</f>
        <v/>
      </c>
      <c r="AI179" s="52"/>
    </row>
    <row r="180" spans="24:35" ht="15.75" x14ac:dyDescent="0.25">
      <c r="X180" s="53" t="str">
        <f t="shared" si="6"/>
        <v/>
      </c>
      <c r="Y180" s="52"/>
      <c r="Z180" s="52"/>
      <c r="AA180" s="52"/>
      <c r="AB180" s="53" t="str">
        <f t="shared" si="7"/>
        <v/>
      </c>
      <c r="AC180" s="50" t="str">
        <f>IF(AB180&lt;=$F$16,IF($F$18=Лист2!$A$2,'Аннуитетное (с ндс)'!N186,IF('Калькулятор лизинга'!$F$18=Лист2!$A$3,Равномерное!N185,'Калькулятор лизинга'!Y180)),"")</f>
        <v/>
      </c>
      <c r="AD180" s="52"/>
      <c r="AE180" s="52"/>
      <c r="AF180" s="52"/>
      <c r="AG180" s="53" t="str">
        <f t="shared" si="8"/>
        <v/>
      </c>
      <c r="AH180" s="50" t="str">
        <f>IF(AG180&lt;=$O$16,IF($O$18=Лист2!$A$2,'Кредит аннуитет'!M185,'Кредит равномерное'!M185),"")</f>
        <v/>
      </c>
      <c r="AI180" s="52"/>
    </row>
    <row r="181" spans="24:35" ht="15.75" x14ac:dyDescent="0.25">
      <c r="X181" s="53" t="str">
        <f t="shared" si="6"/>
        <v/>
      </c>
      <c r="Y181" s="52"/>
      <c r="Z181" s="52"/>
      <c r="AA181" s="52"/>
      <c r="AB181" s="53" t="str">
        <f t="shared" si="7"/>
        <v/>
      </c>
      <c r="AC181" s="50" t="str">
        <f>IF(AB181&lt;=$F$16,IF($F$18=Лист2!$A$2,'Аннуитетное (с ндс)'!N187,IF('Калькулятор лизинга'!$F$18=Лист2!$A$3,Равномерное!N186,'Калькулятор лизинга'!Y181)),"")</f>
        <v/>
      </c>
      <c r="AD181" s="52"/>
      <c r="AE181" s="52"/>
      <c r="AF181" s="52"/>
      <c r="AG181" s="53" t="str">
        <f t="shared" si="8"/>
        <v/>
      </c>
      <c r="AH181" s="50" t="str">
        <f>IF(AG181&lt;=$O$16,IF($O$18=Лист2!$A$2,'Кредит аннуитет'!M186,'Кредит равномерное'!M186),"")</f>
        <v/>
      </c>
      <c r="AI181" s="52"/>
    </row>
    <row r="182" spans="24:35" ht="15.75" x14ac:dyDescent="0.25">
      <c r="X182" s="53" t="str">
        <f t="shared" si="6"/>
        <v/>
      </c>
      <c r="Y182" s="52"/>
      <c r="Z182" s="52"/>
      <c r="AA182" s="52"/>
      <c r="AB182" s="53" t="str">
        <f t="shared" si="7"/>
        <v/>
      </c>
      <c r="AC182" s="50" t="str">
        <f>IF(AB182&lt;=$F$16,IF($F$18=Лист2!$A$2,'Аннуитетное (с ндс)'!N188,IF('Калькулятор лизинга'!$F$18=Лист2!$A$3,Равномерное!N187,'Калькулятор лизинга'!Y182)),"")</f>
        <v/>
      </c>
      <c r="AD182" s="52"/>
      <c r="AE182" s="52"/>
      <c r="AF182" s="52"/>
      <c r="AG182" s="53" t="str">
        <f t="shared" si="8"/>
        <v/>
      </c>
      <c r="AH182" s="50" t="str">
        <f>IF(AG182&lt;=$O$16,IF($O$18=Лист2!$A$2,'Кредит аннуитет'!M187,'Кредит равномерное'!M187),"")</f>
        <v/>
      </c>
      <c r="AI182" s="52"/>
    </row>
    <row r="183" spans="24:35" ht="15.75" x14ac:dyDescent="0.25">
      <c r="X183" s="53" t="str">
        <f t="shared" si="6"/>
        <v/>
      </c>
      <c r="Y183" s="52"/>
      <c r="Z183" s="52"/>
      <c r="AA183" s="52"/>
      <c r="AB183" s="53" t="str">
        <f t="shared" si="7"/>
        <v/>
      </c>
      <c r="AC183" s="50" t="str">
        <f>IF(AB183&lt;=$F$16,IF($F$18=Лист2!$A$2,'Аннуитетное (с ндс)'!N189,IF('Калькулятор лизинга'!$F$18=Лист2!$A$3,Равномерное!N188,'Калькулятор лизинга'!Y183)),"")</f>
        <v/>
      </c>
      <c r="AD183" s="52"/>
      <c r="AE183" s="52"/>
      <c r="AF183" s="52"/>
      <c r="AG183" s="53" t="str">
        <f t="shared" si="8"/>
        <v/>
      </c>
      <c r="AH183" s="50" t="str">
        <f>IF(AG183&lt;=$O$16,IF($O$18=Лист2!$A$2,'Кредит аннуитет'!M188,'Кредит равномерное'!M188),"")</f>
        <v/>
      </c>
      <c r="AI183" s="52"/>
    </row>
    <row r="184" spans="24:35" ht="15.75" x14ac:dyDescent="0.25">
      <c r="X184" s="53" t="str">
        <f t="shared" si="6"/>
        <v/>
      </c>
      <c r="Y184" s="52"/>
      <c r="Z184" s="52"/>
      <c r="AA184" s="52"/>
      <c r="AB184" s="53" t="str">
        <f t="shared" si="7"/>
        <v/>
      </c>
      <c r="AC184" s="50" t="str">
        <f>IF(AB184&lt;=$F$16,IF($F$18=Лист2!$A$2,'Аннуитетное (с ндс)'!N190,IF('Калькулятор лизинга'!$F$18=Лист2!$A$3,Равномерное!N189,'Калькулятор лизинга'!Y184)),"")</f>
        <v/>
      </c>
      <c r="AD184" s="52"/>
      <c r="AE184" s="52"/>
      <c r="AF184" s="52"/>
      <c r="AG184" s="53" t="str">
        <f t="shared" si="8"/>
        <v/>
      </c>
      <c r="AH184" s="50" t="str">
        <f>IF(AG184&lt;=$O$16,IF($O$18=Лист2!$A$2,'Кредит аннуитет'!M189,'Кредит равномерное'!M189),"")</f>
        <v/>
      </c>
      <c r="AI184" s="52"/>
    </row>
    <row r="185" spans="24:35" ht="15.75" x14ac:dyDescent="0.25">
      <c r="X185" s="53" t="str">
        <f t="shared" si="6"/>
        <v/>
      </c>
      <c r="Y185" s="52"/>
      <c r="Z185" s="52"/>
      <c r="AA185" s="52"/>
      <c r="AB185" s="53" t="str">
        <f t="shared" si="7"/>
        <v/>
      </c>
      <c r="AC185" s="50" t="str">
        <f>IF(AB185&lt;=$F$16,IF($F$18=Лист2!$A$2,'Аннуитетное (с ндс)'!N191,IF('Калькулятор лизинга'!$F$18=Лист2!$A$3,Равномерное!N190,'Калькулятор лизинга'!Y185)),"")</f>
        <v/>
      </c>
      <c r="AD185" s="52"/>
      <c r="AE185" s="52"/>
      <c r="AF185" s="52"/>
      <c r="AG185" s="53" t="str">
        <f t="shared" si="8"/>
        <v/>
      </c>
      <c r="AH185" s="50" t="str">
        <f>IF(AG185&lt;=$O$16,IF($O$18=Лист2!$A$2,'Кредит аннуитет'!M190,'Кредит равномерное'!M190),"")</f>
        <v/>
      </c>
      <c r="AI185" s="52"/>
    </row>
    <row r="186" spans="24:35" ht="15.75" x14ac:dyDescent="0.25">
      <c r="X186" s="53" t="str">
        <f t="shared" si="6"/>
        <v/>
      </c>
      <c r="Y186" s="52"/>
      <c r="Z186" s="52"/>
      <c r="AA186" s="52"/>
      <c r="AB186" s="53" t="str">
        <f t="shared" si="7"/>
        <v/>
      </c>
      <c r="AC186" s="50" t="str">
        <f>IF(AB186&lt;=$F$16,IF($F$18=Лист2!$A$2,'Аннуитетное (с ндс)'!N192,IF('Калькулятор лизинга'!$F$18=Лист2!$A$3,Равномерное!N191,'Калькулятор лизинга'!Y186)),"")</f>
        <v/>
      </c>
      <c r="AD186" s="52"/>
      <c r="AE186" s="52"/>
      <c r="AF186" s="52"/>
      <c r="AG186" s="53" t="str">
        <f t="shared" si="8"/>
        <v/>
      </c>
      <c r="AH186" s="50" t="str">
        <f>IF(AG186&lt;=$O$16,IF($O$18=Лист2!$A$2,'Кредит аннуитет'!M191,'Кредит равномерное'!M191),"")</f>
        <v/>
      </c>
      <c r="AI186" s="52"/>
    </row>
    <row r="187" spans="24:35" ht="15.75" x14ac:dyDescent="0.25">
      <c r="X187" s="53" t="str">
        <f t="shared" si="6"/>
        <v/>
      </c>
      <c r="Y187" s="52"/>
      <c r="Z187" s="52"/>
      <c r="AA187" s="52"/>
      <c r="AB187" s="53" t="str">
        <f t="shared" si="7"/>
        <v/>
      </c>
      <c r="AC187" s="50" t="str">
        <f>IF(AB187&lt;=$F$16,IF($F$18=Лист2!$A$2,'Аннуитетное (с ндс)'!N193,IF('Калькулятор лизинга'!$F$18=Лист2!$A$3,Равномерное!N192,'Калькулятор лизинга'!Y187)),"")</f>
        <v/>
      </c>
      <c r="AD187" s="52"/>
      <c r="AE187" s="52"/>
      <c r="AF187" s="52"/>
      <c r="AG187" s="53" t="str">
        <f t="shared" si="8"/>
        <v/>
      </c>
      <c r="AH187" s="50" t="str">
        <f>IF(AG187&lt;=$O$16,IF($O$18=Лист2!$A$2,'Кредит аннуитет'!M192,'Кредит равномерное'!M192),"")</f>
        <v/>
      </c>
      <c r="AI187" s="52"/>
    </row>
    <row r="188" spans="24:35" ht="15.75" x14ac:dyDescent="0.25">
      <c r="X188" s="53" t="str">
        <f t="shared" si="6"/>
        <v/>
      </c>
      <c r="Y188" s="52"/>
      <c r="Z188" s="52"/>
      <c r="AA188" s="52"/>
      <c r="AB188" s="53" t="str">
        <f t="shared" si="7"/>
        <v/>
      </c>
      <c r="AC188" s="50" t="str">
        <f>IF(AB188&lt;=$F$16,IF($F$18=Лист2!$A$2,'Аннуитетное (с ндс)'!N194,IF('Калькулятор лизинга'!$F$18=Лист2!$A$3,Равномерное!N193,'Калькулятор лизинга'!Y188)),"")</f>
        <v/>
      </c>
      <c r="AD188" s="52"/>
      <c r="AE188" s="52"/>
      <c r="AF188" s="52"/>
      <c r="AG188" s="53" t="str">
        <f t="shared" si="8"/>
        <v/>
      </c>
      <c r="AH188" s="50" t="str">
        <f>IF(AG188&lt;=$O$16,IF($O$18=Лист2!$A$2,'Кредит аннуитет'!M193,'Кредит равномерное'!M193),"")</f>
        <v/>
      </c>
      <c r="AI188" s="52"/>
    </row>
    <row r="189" spans="24:35" ht="15.75" x14ac:dyDescent="0.25">
      <c r="X189" s="53" t="str">
        <f t="shared" si="6"/>
        <v/>
      </c>
      <c r="Y189" s="52"/>
      <c r="Z189" s="52"/>
      <c r="AA189" s="52"/>
      <c r="AB189" s="53" t="str">
        <f t="shared" si="7"/>
        <v/>
      </c>
      <c r="AC189" s="50" t="str">
        <f>IF(AB189&lt;=$F$16,IF($F$18=Лист2!$A$2,'Аннуитетное (с ндс)'!N195,IF('Калькулятор лизинга'!$F$18=Лист2!$A$3,Равномерное!N194,'Калькулятор лизинга'!Y189)),"")</f>
        <v/>
      </c>
      <c r="AD189" s="52"/>
      <c r="AE189" s="52"/>
      <c r="AF189" s="52"/>
      <c r="AG189" s="53" t="str">
        <f t="shared" si="8"/>
        <v/>
      </c>
      <c r="AH189" s="50" t="str">
        <f>IF(AG189&lt;=$O$16,IF($O$18=Лист2!$A$2,'Кредит аннуитет'!M194,'Кредит равномерное'!M194),"")</f>
        <v/>
      </c>
      <c r="AI189" s="52"/>
    </row>
    <row r="190" spans="24:35" ht="15.75" x14ac:dyDescent="0.25">
      <c r="X190" s="53" t="str">
        <f t="shared" si="6"/>
        <v/>
      </c>
      <c r="Y190" s="52"/>
      <c r="Z190" s="52"/>
      <c r="AA190" s="52"/>
      <c r="AB190" s="53" t="str">
        <f t="shared" si="7"/>
        <v/>
      </c>
      <c r="AC190" s="50" t="str">
        <f>IF(AB190&lt;=$F$16,IF($F$18=Лист2!$A$2,'Аннуитетное (с ндс)'!N196,IF('Калькулятор лизинга'!$F$18=Лист2!$A$3,Равномерное!N195,'Калькулятор лизинга'!Y190)),"")</f>
        <v/>
      </c>
      <c r="AD190" s="52"/>
      <c r="AE190" s="52"/>
      <c r="AF190" s="52"/>
      <c r="AG190" s="53" t="str">
        <f t="shared" si="8"/>
        <v/>
      </c>
      <c r="AH190" s="50" t="str">
        <f>IF(AG190&lt;=$O$16,IF($O$18=Лист2!$A$2,'Кредит аннуитет'!M195,'Кредит равномерное'!M195),"")</f>
        <v/>
      </c>
      <c r="AI190" s="52"/>
    </row>
    <row r="191" spans="24:35" ht="15.75" x14ac:dyDescent="0.25">
      <c r="X191" s="53" t="str">
        <f t="shared" si="6"/>
        <v/>
      </c>
      <c r="Y191" s="52"/>
      <c r="Z191" s="52"/>
      <c r="AA191" s="52"/>
      <c r="AB191" s="53" t="str">
        <f t="shared" si="7"/>
        <v/>
      </c>
      <c r="AC191" s="50" t="str">
        <f>IF(AB191&lt;=$F$16,IF($F$18=Лист2!$A$2,'Аннуитетное (с ндс)'!N197,IF('Калькулятор лизинга'!$F$18=Лист2!$A$3,Равномерное!N196,'Калькулятор лизинга'!Y191)),"")</f>
        <v/>
      </c>
      <c r="AD191" s="52"/>
      <c r="AE191" s="52"/>
      <c r="AF191" s="52"/>
      <c r="AG191" s="53" t="str">
        <f t="shared" si="8"/>
        <v/>
      </c>
      <c r="AH191" s="50" t="str">
        <f>IF(AG191&lt;=$O$16,IF($O$18=Лист2!$A$2,'Кредит аннуитет'!M196,'Кредит равномерное'!M196),"")</f>
        <v/>
      </c>
      <c r="AI191" s="52"/>
    </row>
    <row r="192" spans="24:35" ht="15.75" x14ac:dyDescent="0.25">
      <c r="X192" s="53" t="str">
        <f t="shared" si="6"/>
        <v/>
      </c>
      <c r="Y192" s="52"/>
      <c r="Z192" s="52"/>
      <c r="AA192" s="52"/>
      <c r="AB192" s="53" t="str">
        <f t="shared" si="7"/>
        <v/>
      </c>
      <c r="AC192" s="50" t="str">
        <f>IF(AB192&lt;=$F$16,IF($F$18=Лист2!$A$2,'Аннуитетное (с ндс)'!N198,IF('Калькулятор лизинга'!$F$18=Лист2!$A$3,Равномерное!N197,'Калькулятор лизинга'!Y192)),"")</f>
        <v/>
      </c>
      <c r="AD192" s="52"/>
      <c r="AE192" s="52"/>
      <c r="AF192" s="52"/>
      <c r="AG192" s="53" t="str">
        <f t="shared" si="8"/>
        <v/>
      </c>
      <c r="AH192" s="50" t="str">
        <f>IF(AG192&lt;=$O$16,IF($O$18=Лист2!$A$2,'Кредит аннуитет'!M197,'Кредит равномерное'!M197),"")</f>
        <v/>
      </c>
      <c r="AI192" s="52"/>
    </row>
    <row r="193" spans="24:35" ht="15.75" x14ac:dyDescent="0.25">
      <c r="X193" s="53" t="str">
        <f t="shared" si="6"/>
        <v/>
      </c>
      <c r="Y193" s="52"/>
      <c r="Z193" s="52"/>
      <c r="AA193" s="52"/>
      <c r="AB193" s="53" t="str">
        <f t="shared" si="7"/>
        <v/>
      </c>
      <c r="AC193" s="50" t="str">
        <f>IF(AB193&lt;=$F$16,IF($F$18=Лист2!$A$2,'Аннуитетное (с ндс)'!N199,IF('Калькулятор лизинга'!$F$18=Лист2!$A$3,Равномерное!N198,'Калькулятор лизинга'!Y193)),"")</f>
        <v/>
      </c>
      <c r="AD193" s="52"/>
      <c r="AE193" s="52"/>
      <c r="AF193" s="52"/>
      <c r="AG193" s="53" t="str">
        <f t="shared" si="8"/>
        <v/>
      </c>
      <c r="AH193" s="50" t="str">
        <f>IF(AG193&lt;=$O$16,IF($O$18=Лист2!$A$2,'Кредит аннуитет'!M198,'Кредит равномерное'!M198),"")</f>
        <v/>
      </c>
      <c r="AI193" s="52"/>
    </row>
    <row r="194" spans="24:35" ht="15.75" x14ac:dyDescent="0.25">
      <c r="X194" s="53" t="str">
        <f t="shared" si="6"/>
        <v/>
      </c>
      <c r="Y194" s="52"/>
      <c r="Z194" s="52"/>
      <c r="AA194" s="52"/>
      <c r="AB194" s="53" t="str">
        <f t="shared" si="7"/>
        <v/>
      </c>
      <c r="AC194" s="50" t="str">
        <f>IF(AB194&lt;=$F$16,IF($F$18=Лист2!$A$2,'Аннуитетное (с ндс)'!N200,IF('Калькулятор лизинга'!$F$18=Лист2!$A$3,Равномерное!N199,'Калькулятор лизинга'!Y194)),"")</f>
        <v/>
      </c>
      <c r="AD194" s="52"/>
      <c r="AE194" s="52"/>
      <c r="AF194" s="52"/>
      <c r="AG194" s="53" t="str">
        <f t="shared" si="8"/>
        <v/>
      </c>
      <c r="AH194" s="50" t="str">
        <f>IF(AG194&lt;=$O$16,IF($O$18=Лист2!$A$2,'Кредит аннуитет'!M199,'Кредит равномерное'!M199),"")</f>
        <v/>
      </c>
      <c r="AI194" s="52"/>
    </row>
    <row r="195" spans="24:35" ht="15.75" x14ac:dyDescent="0.25">
      <c r="X195" s="53" t="str">
        <f t="shared" si="6"/>
        <v/>
      </c>
      <c r="Y195" s="52"/>
      <c r="Z195" s="52"/>
      <c r="AA195" s="52"/>
      <c r="AB195" s="53" t="str">
        <f t="shared" si="7"/>
        <v/>
      </c>
      <c r="AC195" s="50" t="str">
        <f>IF(AB195&lt;=$F$16,IF($F$18=Лист2!$A$2,'Аннуитетное (с ндс)'!N201,IF('Калькулятор лизинга'!$F$18=Лист2!$A$3,Равномерное!N200,'Калькулятор лизинга'!Y195)),"")</f>
        <v/>
      </c>
      <c r="AD195" s="52"/>
      <c r="AE195" s="52"/>
      <c r="AF195" s="52"/>
      <c r="AG195" s="53" t="str">
        <f t="shared" si="8"/>
        <v/>
      </c>
      <c r="AH195" s="50" t="str">
        <f>IF(AG195&lt;=$O$16,IF($O$18=Лист2!$A$2,'Кредит аннуитет'!M200,'Кредит равномерное'!M200),"")</f>
        <v/>
      </c>
      <c r="AI195" s="52"/>
    </row>
    <row r="196" spans="24:35" ht="15.75" x14ac:dyDescent="0.25">
      <c r="X196" s="53" t="str">
        <f t="shared" si="6"/>
        <v/>
      </c>
      <c r="Y196" s="52"/>
      <c r="Z196" s="52"/>
      <c r="AA196" s="52"/>
      <c r="AB196" s="53" t="str">
        <f t="shared" si="7"/>
        <v/>
      </c>
      <c r="AC196" s="50" t="str">
        <f>IF(AB196&lt;=$F$16,IF($F$18=Лист2!$A$2,'Аннуитетное (с ндс)'!N202,IF('Калькулятор лизинга'!$F$18=Лист2!$A$3,Равномерное!N201,'Калькулятор лизинга'!Y196)),"")</f>
        <v/>
      </c>
      <c r="AD196" s="52"/>
      <c r="AE196" s="52"/>
      <c r="AF196" s="52"/>
      <c r="AG196" s="53" t="str">
        <f t="shared" si="8"/>
        <v/>
      </c>
      <c r="AH196" s="50" t="str">
        <f>IF(AG196&lt;=$O$16,IF($O$18=Лист2!$A$2,'Кредит аннуитет'!M201,'Кредит равномерное'!M201),"")</f>
        <v/>
      </c>
      <c r="AI196" s="52"/>
    </row>
    <row r="197" spans="24:35" ht="15.75" x14ac:dyDescent="0.25">
      <c r="X197" s="53" t="str">
        <f t="shared" si="6"/>
        <v/>
      </c>
      <c r="Y197" s="52"/>
      <c r="Z197" s="52"/>
      <c r="AA197" s="52"/>
      <c r="AB197" s="53" t="str">
        <f t="shared" si="7"/>
        <v/>
      </c>
      <c r="AC197" s="50" t="str">
        <f>IF(AB197&lt;=$F$16,IF($F$18=Лист2!$A$2,'Аннуитетное (с ндс)'!N203,IF('Калькулятор лизинга'!$F$18=Лист2!$A$3,Равномерное!N202,'Калькулятор лизинга'!Y197)),"")</f>
        <v/>
      </c>
      <c r="AD197" s="52"/>
      <c r="AE197" s="52"/>
      <c r="AF197" s="52"/>
      <c r="AG197" s="53" t="str">
        <f t="shared" si="8"/>
        <v/>
      </c>
      <c r="AH197" s="50" t="str">
        <f>IF(AG197&lt;=$O$16,IF($O$18=Лист2!$A$2,'Кредит аннуитет'!M202,'Кредит равномерное'!M202),"")</f>
        <v/>
      </c>
      <c r="AI197" s="52"/>
    </row>
    <row r="198" spans="24:35" ht="15.75" x14ac:dyDescent="0.25">
      <c r="X198" s="53" t="str">
        <f t="shared" si="6"/>
        <v/>
      </c>
      <c r="Y198" s="52"/>
      <c r="Z198" s="52"/>
      <c r="AA198" s="52"/>
      <c r="AB198" s="53" t="str">
        <f t="shared" si="7"/>
        <v/>
      </c>
      <c r="AC198" s="50" t="str">
        <f>IF(AB198&lt;=$F$16,IF($F$18=Лист2!$A$2,'Аннуитетное (с ндс)'!N204,IF('Калькулятор лизинга'!$F$18=Лист2!$A$3,Равномерное!N203,'Калькулятор лизинга'!Y198)),"")</f>
        <v/>
      </c>
      <c r="AD198" s="52"/>
      <c r="AE198" s="52"/>
      <c r="AF198" s="52"/>
      <c r="AG198" s="53" t="str">
        <f t="shared" si="8"/>
        <v/>
      </c>
      <c r="AH198" s="50" t="str">
        <f>IF(AG198&lt;=$O$16,IF($O$18=Лист2!$A$2,'Кредит аннуитет'!M203,'Кредит равномерное'!M203),"")</f>
        <v/>
      </c>
      <c r="AI198" s="52"/>
    </row>
    <row r="199" spans="24:35" ht="15.75" x14ac:dyDescent="0.25">
      <c r="X199" s="53" t="str">
        <f t="shared" ref="X199:X262" si="9">IF(X198&lt;$F$16,X198+1,"")</f>
        <v/>
      </c>
      <c r="Y199" s="52"/>
      <c r="Z199" s="52"/>
      <c r="AA199" s="52"/>
      <c r="AB199" s="53" t="str">
        <f t="shared" ref="AB199:AB262" si="10">IF(AB198&lt;$F$16,AB198+1,"")</f>
        <v/>
      </c>
      <c r="AC199" s="50" t="str">
        <f>IF(AB199&lt;=$F$16,IF($F$18=Лист2!$A$2,'Аннуитетное (с ндс)'!N205,IF('Калькулятор лизинга'!$F$18=Лист2!$A$3,Равномерное!N204,'Калькулятор лизинга'!Y199)),"")</f>
        <v/>
      </c>
      <c r="AD199" s="52"/>
      <c r="AE199" s="52"/>
      <c r="AF199" s="52"/>
      <c r="AG199" s="53" t="str">
        <f t="shared" ref="AG199:AG262" si="11">IF(AG198&lt;$O$16,AG198+1,"")</f>
        <v/>
      </c>
      <c r="AH199" s="50" t="str">
        <f>IF(AG199&lt;=$O$16,IF($O$18=Лист2!$A$2,'Кредит аннуитет'!M204,'Кредит равномерное'!M204),"")</f>
        <v/>
      </c>
      <c r="AI199" s="52"/>
    </row>
    <row r="200" spans="24:35" ht="15.75" x14ac:dyDescent="0.25">
      <c r="X200" s="53" t="str">
        <f t="shared" si="9"/>
        <v/>
      </c>
      <c r="Y200" s="52"/>
      <c r="Z200" s="52"/>
      <c r="AA200" s="52"/>
      <c r="AB200" s="53" t="str">
        <f t="shared" si="10"/>
        <v/>
      </c>
      <c r="AC200" s="50" t="str">
        <f>IF(AB200&lt;=$F$16,IF($F$18=Лист2!$A$2,'Аннуитетное (с ндс)'!N206,IF('Калькулятор лизинга'!$F$18=Лист2!$A$3,Равномерное!N205,'Калькулятор лизинга'!Y200)),"")</f>
        <v/>
      </c>
      <c r="AD200" s="52"/>
      <c r="AE200" s="52"/>
      <c r="AF200" s="52"/>
      <c r="AG200" s="53" t="str">
        <f t="shared" si="11"/>
        <v/>
      </c>
      <c r="AH200" s="50" t="str">
        <f>IF(AG200&lt;=$O$16,IF($O$18=Лист2!$A$2,'Кредит аннуитет'!M205,'Кредит равномерное'!M205),"")</f>
        <v/>
      </c>
      <c r="AI200" s="52"/>
    </row>
    <row r="201" spans="24:35" ht="15.75" x14ac:dyDescent="0.25">
      <c r="X201" s="53" t="str">
        <f t="shared" si="9"/>
        <v/>
      </c>
      <c r="Y201" s="52"/>
      <c r="Z201" s="52"/>
      <c r="AA201" s="52"/>
      <c r="AB201" s="53" t="str">
        <f t="shared" si="10"/>
        <v/>
      </c>
      <c r="AC201" s="50" t="str">
        <f>IF(AB201&lt;=$F$16,IF($F$18=Лист2!$A$2,'Аннуитетное (с ндс)'!N207,IF('Калькулятор лизинга'!$F$18=Лист2!$A$3,Равномерное!N206,'Калькулятор лизинга'!Y201)),"")</f>
        <v/>
      </c>
      <c r="AD201" s="52"/>
      <c r="AE201" s="52"/>
      <c r="AF201" s="52"/>
      <c r="AG201" s="53" t="str">
        <f t="shared" si="11"/>
        <v/>
      </c>
      <c r="AH201" s="50" t="str">
        <f>IF(AG201&lt;=$O$16,IF($O$18=Лист2!$A$2,'Кредит аннуитет'!M206,'Кредит равномерное'!M206),"")</f>
        <v/>
      </c>
      <c r="AI201" s="52"/>
    </row>
    <row r="202" spans="24:35" ht="15.75" x14ac:dyDescent="0.25">
      <c r="X202" s="53" t="str">
        <f t="shared" si="9"/>
        <v/>
      </c>
      <c r="Y202" s="52"/>
      <c r="Z202" s="52"/>
      <c r="AA202" s="52"/>
      <c r="AB202" s="53" t="str">
        <f t="shared" si="10"/>
        <v/>
      </c>
      <c r="AC202" s="50" t="str">
        <f>IF(AB202&lt;=$F$16,IF($F$18=Лист2!$A$2,'Аннуитетное (с ндс)'!N208,IF('Калькулятор лизинга'!$F$18=Лист2!$A$3,Равномерное!N207,'Калькулятор лизинга'!Y202)),"")</f>
        <v/>
      </c>
      <c r="AD202" s="52"/>
      <c r="AE202" s="52"/>
      <c r="AF202" s="52"/>
      <c r="AG202" s="53" t="str">
        <f t="shared" si="11"/>
        <v/>
      </c>
      <c r="AH202" s="50" t="str">
        <f>IF(AG202&lt;=$O$16,IF($O$18=Лист2!$A$2,'Кредит аннуитет'!M207,'Кредит равномерное'!M207),"")</f>
        <v/>
      </c>
      <c r="AI202" s="52"/>
    </row>
    <row r="203" spans="24:35" ht="15.75" x14ac:dyDescent="0.25">
      <c r="X203" s="53" t="str">
        <f t="shared" si="9"/>
        <v/>
      </c>
      <c r="Y203" s="52"/>
      <c r="Z203" s="52"/>
      <c r="AA203" s="52"/>
      <c r="AB203" s="53" t="str">
        <f t="shared" si="10"/>
        <v/>
      </c>
      <c r="AC203" s="50" t="str">
        <f>IF(AB203&lt;=$F$16,IF($F$18=Лист2!$A$2,'Аннуитетное (с ндс)'!N209,IF('Калькулятор лизинга'!$F$18=Лист2!$A$3,Равномерное!N208,'Калькулятор лизинга'!Y203)),"")</f>
        <v/>
      </c>
      <c r="AD203" s="52"/>
      <c r="AE203" s="52"/>
      <c r="AF203" s="52"/>
      <c r="AG203" s="53" t="str">
        <f t="shared" si="11"/>
        <v/>
      </c>
      <c r="AH203" s="50" t="str">
        <f>IF(AG203&lt;=$O$16,IF($O$18=Лист2!$A$2,'Кредит аннуитет'!M208,'Кредит равномерное'!M208),"")</f>
        <v/>
      </c>
      <c r="AI203" s="52"/>
    </row>
    <row r="204" spans="24:35" ht="15.75" x14ac:dyDescent="0.25">
      <c r="X204" s="53" t="str">
        <f t="shared" si="9"/>
        <v/>
      </c>
      <c r="Y204" s="52"/>
      <c r="Z204" s="52"/>
      <c r="AA204" s="52"/>
      <c r="AB204" s="53" t="str">
        <f t="shared" si="10"/>
        <v/>
      </c>
      <c r="AC204" s="50" t="str">
        <f>IF(AB204&lt;=$F$16,IF($F$18=Лист2!$A$2,'Аннуитетное (с ндс)'!N210,IF('Калькулятор лизинга'!$F$18=Лист2!$A$3,Равномерное!N209,'Калькулятор лизинга'!Y204)),"")</f>
        <v/>
      </c>
      <c r="AD204" s="52"/>
      <c r="AE204" s="52"/>
      <c r="AF204" s="52"/>
      <c r="AG204" s="53" t="str">
        <f t="shared" si="11"/>
        <v/>
      </c>
      <c r="AH204" s="50" t="str">
        <f>IF(AG204&lt;=$O$16,IF($O$18=Лист2!$A$2,'Кредит аннуитет'!M209,'Кредит равномерное'!M209),"")</f>
        <v/>
      </c>
      <c r="AI204" s="52"/>
    </row>
    <row r="205" spans="24:35" ht="15.75" x14ac:dyDescent="0.25">
      <c r="X205" s="53" t="str">
        <f t="shared" si="9"/>
        <v/>
      </c>
      <c r="Y205" s="52"/>
      <c r="Z205" s="52"/>
      <c r="AA205" s="52"/>
      <c r="AB205" s="53" t="str">
        <f t="shared" si="10"/>
        <v/>
      </c>
      <c r="AC205" s="50" t="str">
        <f>IF(AB205&lt;=$F$16,IF($F$18=Лист2!$A$2,'Аннуитетное (с ндс)'!N211,IF('Калькулятор лизинга'!$F$18=Лист2!$A$3,Равномерное!N210,'Калькулятор лизинга'!Y205)),"")</f>
        <v/>
      </c>
      <c r="AD205" s="52"/>
      <c r="AE205" s="52"/>
      <c r="AF205" s="52"/>
      <c r="AG205" s="53" t="str">
        <f t="shared" si="11"/>
        <v/>
      </c>
      <c r="AH205" s="50" t="str">
        <f>IF(AG205&lt;=$O$16,IF($O$18=Лист2!$A$2,'Кредит аннуитет'!M210,'Кредит равномерное'!M210),"")</f>
        <v/>
      </c>
      <c r="AI205" s="52"/>
    </row>
    <row r="206" spans="24:35" ht="15.75" x14ac:dyDescent="0.25">
      <c r="X206" s="53" t="str">
        <f t="shared" si="9"/>
        <v/>
      </c>
      <c r="Y206" s="52"/>
      <c r="Z206" s="52"/>
      <c r="AA206" s="52"/>
      <c r="AB206" s="53" t="str">
        <f t="shared" si="10"/>
        <v/>
      </c>
      <c r="AC206" s="50" t="str">
        <f>IF(AB206&lt;=$F$16,IF($F$18=Лист2!$A$2,'Аннуитетное (с ндс)'!N212,IF('Калькулятор лизинга'!$F$18=Лист2!$A$3,Равномерное!N211,'Калькулятор лизинга'!Y206)),"")</f>
        <v/>
      </c>
      <c r="AD206" s="52"/>
      <c r="AE206" s="52"/>
      <c r="AF206" s="52"/>
      <c r="AG206" s="53" t="str">
        <f t="shared" si="11"/>
        <v/>
      </c>
      <c r="AH206" s="50" t="str">
        <f>IF(AG206&lt;=$O$16,IF($O$18=Лист2!$A$2,'Кредит аннуитет'!M211,'Кредит равномерное'!M211),"")</f>
        <v/>
      </c>
      <c r="AI206" s="52"/>
    </row>
    <row r="207" spans="24:35" ht="15.75" x14ac:dyDescent="0.25">
      <c r="X207" s="53" t="str">
        <f t="shared" si="9"/>
        <v/>
      </c>
      <c r="Y207" s="52"/>
      <c r="Z207" s="52"/>
      <c r="AA207" s="52"/>
      <c r="AB207" s="53" t="str">
        <f t="shared" si="10"/>
        <v/>
      </c>
      <c r="AC207" s="50" t="str">
        <f>IF(AB207&lt;=$F$16,IF($F$18=Лист2!$A$2,'Аннуитетное (с ндс)'!N213,IF('Калькулятор лизинга'!$F$18=Лист2!$A$3,Равномерное!N212,'Калькулятор лизинга'!Y207)),"")</f>
        <v/>
      </c>
      <c r="AD207" s="52"/>
      <c r="AE207" s="52"/>
      <c r="AF207" s="52"/>
      <c r="AG207" s="53" t="str">
        <f t="shared" si="11"/>
        <v/>
      </c>
      <c r="AH207" s="50" t="str">
        <f>IF(AG207&lt;=$O$16,IF($O$18=Лист2!$A$2,'Кредит аннуитет'!M212,'Кредит равномерное'!M212),"")</f>
        <v/>
      </c>
      <c r="AI207" s="52"/>
    </row>
    <row r="208" spans="24:35" ht="15.75" x14ac:dyDescent="0.25">
      <c r="X208" s="53" t="str">
        <f t="shared" si="9"/>
        <v/>
      </c>
      <c r="Y208" s="52"/>
      <c r="Z208" s="52"/>
      <c r="AA208" s="52"/>
      <c r="AB208" s="53" t="str">
        <f t="shared" si="10"/>
        <v/>
      </c>
      <c r="AC208" s="50" t="str">
        <f>IF(AB208&lt;=$F$16,IF($F$18=Лист2!$A$2,'Аннуитетное (с ндс)'!N214,IF('Калькулятор лизинга'!$F$18=Лист2!$A$3,Равномерное!N213,'Калькулятор лизинга'!Y208)),"")</f>
        <v/>
      </c>
      <c r="AD208" s="52"/>
      <c r="AE208" s="52"/>
      <c r="AF208" s="52"/>
      <c r="AG208" s="53" t="str">
        <f t="shared" si="11"/>
        <v/>
      </c>
      <c r="AH208" s="50" t="str">
        <f>IF(AG208&lt;=$O$16,IF($O$18=Лист2!$A$2,'Кредит аннуитет'!M213,'Кредит равномерное'!M213),"")</f>
        <v/>
      </c>
      <c r="AI208" s="52"/>
    </row>
    <row r="209" spans="24:35" ht="15.75" x14ac:dyDescent="0.25">
      <c r="X209" s="53" t="str">
        <f t="shared" si="9"/>
        <v/>
      </c>
      <c r="Y209" s="52"/>
      <c r="Z209" s="52"/>
      <c r="AA209" s="52"/>
      <c r="AB209" s="53" t="str">
        <f t="shared" si="10"/>
        <v/>
      </c>
      <c r="AC209" s="50" t="str">
        <f>IF(AB209&lt;=$F$16,IF($F$18=Лист2!$A$2,'Аннуитетное (с ндс)'!N215,IF('Калькулятор лизинга'!$F$18=Лист2!$A$3,Равномерное!N214,'Калькулятор лизинга'!Y209)),"")</f>
        <v/>
      </c>
      <c r="AD209" s="52"/>
      <c r="AE209" s="52"/>
      <c r="AF209" s="52"/>
      <c r="AG209" s="53" t="str">
        <f t="shared" si="11"/>
        <v/>
      </c>
      <c r="AH209" s="50" t="str">
        <f>IF(AG209&lt;=$O$16,IF($O$18=Лист2!$A$2,'Кредит аннуитет'!M214,'Кредит равномерное'!M214),"")</f>
        <v/>
      </c>
      <c r="AI209" s="52"/>
    </row>
    <row r="210" spans="24:35" ht="15.75" x14ac:dyDescent="0.25">
      <c r="X210" s="53" t="str">
        <f t="shared" si="9"/>
        <v/>
      </c>
      <c r="Y210" s="52"/>
      <c r="Z210" s="52"/>
      <c r="AA210" s="52"/>
      <c r="AB210" s="53" t="str">
        <f t="shared" si="10"/>
        <v/>
      </c>
      <c r="AC210" s="50" t="str">
        <f>IF(AB210&lt;=$F$16,IF($F$18=Лист2!$A$2,'Аннуитетное (с ндс)'!N216,IF('Калькулятор лизинга'!$F$18=Лист2!$A$3,Равномерное!N215,'Калькулятор лизинга'!Y210)),"")</f>
        <v/>
      </c>
      <c r="AD210" s="52"/>
      <c r="AE210" s="52"/>
      <c r="AF210" s="52"/>
      <c r="AG210" s="53" t="str">
        <f t="shared" si="11"/>
        <v/>
      </c>
      <c r="AH210" s="50" t="str">
        <f>IF(AG210&lt;=$O$16,IF($O$18=Лист2!$A$2,'Кредит аннуитет'!M215,'Кредит равномерное'!M215),"")</f>
        <v/>
      </c>
      <c r="AI210" s="52"/>
    </row>
    <row r="211" spans="24:35" ht="15.75" x14ac:dyDescent="0.25">
      <c r="X211" s="53" t="str">
        <f t="shared" si="9"/>
        <v/>
      </c>
      <c r="Y211" s="52"/>
      <c r="Z211" s="52"/>
      <c r="AA211" s="52"/>
      <c r="AB211" s="53" t="str">
        <f t="shared" si="10"/>
        <v/>
      </c>
      <c r="AC211" s="50" t="str">
        <f>IF(AB211&lt;=$F$16,IF($F$18=Лист2!$A$2,'Аннуитетное (с ндс)'!N217,IF('Калькулятор лизинга'!$F$18=Лист2!$A$3,Равномерное!N216,'Калькулятор лизинга'!Y211)),"")</f>
        <v/>
      </c>
      <c r="AD211" s="52"/>
      <c r="AE211" s="52"/>
      <c r="AF211" s="52"/>
      <c r="AG211" s="53" t="str">
        <f t="shared" si="11"/>
        <v/>
      </c>
      <c r="AH211" s="50" t="str">
        <f>IF(AG211&lt;=$O$16,IF($O$18=Лист2!$A$2,'Кредит аннуитет'!M216,'Кредит равномерное'!M216),"")</f>
        <v/>
      </c>
      <c r="AI211" s="52"/>
    </row>
    <row r="212" spans="24:35" ht="15.75" x14ac:dyDescent="0.25">
      <c r="X212" s="53" t="str">
        <f t="shared" si="9"/>
        <v/>
      </c>
      <c r="Y212" s="52"/>
      <c r="Z212" s="52"/>
      <c r="AA212" s="52"/>
      <c r="AB212" s="53" t="str">
        <f t="shared" si="10"/>
        <v/>
      </c>
      <c r="AC212" s="50" t="str">
        <f>IF(AB212&lt;=$F$16,IF($F$18=Лист2!$A$2,'Аннуитетное (с ндс)'!N218,IF('Калькулятор лизинга'!$F$18=Лист2!$A$3,Равномерное!N217,'Калькулятор лизинга'!Y212)),"")</f>
        <v/>
      </c>
      <c r="AD212" s="52"/>
      <c r="AE212" s="52"/>
      <c r="AF212" s="52"/>
      <c r="AG212" s="53" t="str">
        <f t="shared" si="11"/>
        <v/>
      </c>
      <c r="AH212" s="50" t="str">
        <f>IF(AG212&lt;=$O$16,IF($O$18=Лист2!$A$2,'Кредит аннуитет'!M217,'Кредит равномерное'!M217),"")</f>
        <v/>
      </c>
      <c r="AI212" s="52"/>
    </row>
    <row r="213" spans="24:35" ht="15.75" x14ac:dyDescent="0.25">
      <c r="X213" s="53" t="str">
        <f t="shared" si="9"/>
        <v/>
      </c>
      <c r="Y213" s="52"/>
      <c r="Z213" s="52"/>
      <c r="AA213" s="52"/>
      <c r="AB213" s="53" t="str">
        <f t="shared" si="10"/>
        <v/>
      </c>
      <c r="AC213" s="50" t="str">
        <f>IF(AB213&lt;=$F$16,IF($F$18=Лист2!$A$2,'Аннуитетное (с ндс)'!N219,IF('Калькулятор лизинга'!$F$18=Лист2!$A$3,Равномерное!N218,'Калькулятор лизинга'!Y213)),"")</f>
        <v/>
      </c>
      <c r="AD213" s="52"/>
      <c r="AE213" s="52"/>
      <c r="AF213" s="52"/>
      <c r="AG213" s="53" t="str">
        <f t="shared" si="11"/>
        <v/>
      </c>
      <c r="AH213" s="50" t="str">
        <f>IF(AG213&lt;=$O$16,IF($O$18=Лист2!$A$2,'Кредит аннуитет'!M218,'Кредит равномерное'!M218),"")</f>
        <v/>
      </c>
      <c r="AI213" s="52"/>
    </row>
    <row r="214" spans="24:35" ht="15.75" x14ac:dyDescent="0.25">
      <c r="X214" s="53" t="str">
        <f t="shared" si="9"/>
        <v/>
      </c>
      <c r="Y214" s="52"/>
      <c r="Z214" s="52"/>
      <c r="AA214" s="52"/>
      <c r="AB214" s="53" t="str">
        <f t="shared" si="10"/>
        <v/>
      </c>
      <c r="AC214" s="50" t="str">
        <f>IF(AB214&lt;=$F$16,IF($F$18=Лист2!$A$2,'Аннуитетное (с ндс)'!N220,IF('Калькулятор лизинга'!$F$18=Лист2!$A$3,Равномерное!N219,'Калькулятор лизинга'!Y214)),"")</f>
        <v/>
      </c>
      <c r="AD214" s="52"/>
      <c r="AE214" s="52"/>
      <c r="AF214" s="52"/>
      <c r="AG214" s="53" t="str">
        <f t="shared" si="11"/>
        <v/>
      </c>
      <c r="AH214" s="50" t="str">
        <f>IF(AG214&lt;=$O$16,IF($O$18=Лист2!$A$2,'Кредит аннуитет'!M219,'Кредит равномерное'!M219),"")</f>
        <v/>
      </c>
      <c r="AI214" s="52"/>
    </row>
    <row r="215" spans="24:35" ht="15.75" x14ac:dyDescent="0.25">
      <c r="X215" s="53" t="str">
        <f t="shared" si="9"/>
        <v/>
      </c>
      <c r="Y215" s="52"/>
      <c r="Z215" s="52"/>
      <c r="AA215" s="52"/>
      <c r="AB215" s="53" t="str">
        <f t="shared" si="10"/>
        <v/>
      </c>
      <c r="AC215" s="50" t="str">
        <f>IF(AB215&lt;=$F$16,IF($F$18=Лист2!$A$2,'Аннуитетное (с ндс)'!N221,IF('Калькулятор лизинга'!$F$18=Лист2!$A$3,Равномерное!N220,'Калькулятор лизинга'!Y215)),"")</f>
        <v/>
      </c>
      <c r="AD215" s="52"/>
      <c r="AE215" s="52"/>
      <c r="AF215" s="52"/>
      <c r="AG215" s="53" t="str">
        <f t="shared" si="11"/>
        <v/>
      </c>
      <c r="AH215" s="50" t="str">
        <f>IF(AG215&lt;=$O$16,IF($O$18=Лист2!$A$2,'Кредит аннуитет'!M220,'Кредит равномерное'!M220),"")</f>
        <v/>
      </c>
      <c r="AI215" s="52"/>
    </row>
    <row r="216" spans="24:35" ht="15.75" x14ac:dyDescent="0.25">
      <c r="X216" s="53" t="str">
        <f t="shared" si="9"/>
        <v/>
      </c>
      <c r="Y216" s="52"/>
      <c r="Z216" s="52"/>
      <c r="AA216" s="52"/>
      <c r="AB216" s="53" t="str">
        <f t="shared" si="10"/>
        <v/>
      </c>
      <c r="AC216" s="50" t="str">
        <f>IF(AB216&lt;=$F$16,IF($F$18=Лист2!$A$2,'Аннуитетное (с ндс)'!N222,IF('Калькулятор лизинга'!$F$18=Лист2!$A$3,Равномерное!N221,'Калькулятор лизинга'!Y216)),"")</f>
        <v/>
      </c>
      <c r="AD216" s="52"/>
      <c r="AE216" s="52"/>
      <c r="AF216" s="52"/>
      <c r="AG216" s="53" t="str">
        <f t="shared" si="11"/>
        <v/>
      </c>
      <c r="AH216" s="50" t="str">
        <f>IF(AG216&lt;=$O$16,IF($O$18=Лист2!$A$2,'Кредит аннуитет'!M221,'Кредит равномерное'!M221),"")</f>
        <v/>
      </c>
      <c r="AI216" s="52"/>
    </row>
    <row r="217" spans="24:35" ht="15.75" x14ac:dyDescent="0.25">
      <c r="X217" s="53" t="str">
        <f t="shared" si="9"/>
        <v/>
      </c>
      <c r="Y217" s="52"/>
      <c r="Z217" s="52"/>
      <c r="AA217" s="52"/>
      <c r="AB217" s="53" t="str">
        <f t="shared" si="10"/>
        <v/>
      </c>
      <c r="AC217" s="50" t="str">
        <f>IF(AB217&lt;=$F$16,IF($F$18=Лист2!$A$2,'Аннуитетное (с ндс)'!N223,IF('Калькулятор лизинга'!$F$18=Лист2!$A$3,Равномерное!N222,'Калькулятор лизинга'!Y217)),"")</f>
        <v/>
      </c>
      <c r="AD217" s="52"/>
      <c r="AE217" s="52"/>
      <c r="AF217" s="52"/>
      <c r="AG217" s="53" t="str">
        <f t="shared" si="11"/>
        <v/>
      </c>
      <c r="AH217" s="50" t="str">
        <f>IF(AG217&lt;=$O$16,IF($O$18=Лист2!$A$2,'Кредит аннуитет'!M222,'Кредит равномерное'!M222),"")</f>
        <v/>
      </c>
      <c r="AI217" s="52"/>
    </row>
    <row r="218" spans="24:35" ht="15.75" x14ac:dyDescent="0.25">
      <c r="X218" s="53" t="str">
        <f t="shared" si="9"/>
        <v/>
      </c>
      <c r="Y218" s="52"/>
      <c r="Z218" s="52"/>
      <c r="AA218" s="52"/>
      <c r="AB218" s="53" t="str">
        <f t="shared" si="10"/>
        <v/>
      </c>
      <c r="AC218" s="50" t="str">
        <f>IF(AB218&lt;=$F$16,IF($F$18=Лист2!$A$2,'Аннуитетное (с ндс)'!N224,IF('Калькулятор лизинга'!$F$18=Лист2!$A$3,Равномерное!N223,'Калькулятор лизинга'!Y218)),"")</f>
        <v/>
      </c>
      <c r="AD218" s="52"/>
      <c r="AE218" s="52"/>
      <c r="AF218" s="52"/>
      <c r="AG218" s="53" t="str">
        <f t="shared" si="11"/>
        <v/>
      </c>
      <c r="AH218" s="50" t="str">
        <f>IF(AG218&lt;=$O$16,IF($O$18=Лист2!$A$2,'Кредит аннуитет'!M223,'Кредит равномерное'!M223),"")</f>
        <v/>
      </c>
      <c r="AI218" s="52"/>
    </row>
    <row r="219" spans="24:35" ht="15.75" x14ac:dyDescent="0.25">
      <c r="X219" s="53" t="str">
        <f t="shared" si="9"/>
        <v/>
      </c>
      <c r="Y219" s="52"/>
      <c r="Z219" s="52"/>
      <c r="AA219" s="52"/>
      <c r="AB219" s="53" t="str">
        <f t="shared" si="10"/>
        <v/>
      </c>
      <c r="AC219" s="50" t="str">
        <f>IF(AB219&lt;=$F$16,IF($F$18=Лист2!$A$2,'Аннуитетное (с ндс)'!N225,IF('Калькулятор лизинга'!$F$18=Лист2!$A$3,Равномерное!N224,'Калькулятор лизинга'!Y219)),"")</f>
        <v/>
      </c>
      <c r="AD219" s="52"/>
      <c r="AE219" s="52"/>
      <c r="AF219" s="52"/>
      <c r="AG219" s="53" t="str">
        <f t="shared" si="11"/>
        <v/>
      </c>
      <c r="AH219" s="50" t="str">
        <f>IF(AG219&lt;=$O$16,IF($O$18=Лист2!$A$2,'Кредит аннуитет'!M224,'Кредит равномерное'!M224),"")</f>
        <v/>
      </c>
      <c r="AI219" s="52"/>
    </row>
    <row r="220" spans="24:35" ht="15.75" x14ac:dyDescent="0.25">
      <c r="X220" s="53" t="str">
        <f t="shared" si="9"/>
        <v/>
      </c>
      <c r="Y220" s="52"/>
      <c r="Z220" s="52"/>
      <c r="AA220" s="52"/>
      <c r="AB220" s="53" t="str">
        <f t="shared" si="10"/>
        <v/>
      </c>
      <c r="AC220" s="50" t="str">
        <f>IF(AB220&lt;=$F$16,IF($F$18=Лист2!$A$2,'Аннуитетное (с ндс)'!N226,IF('Калькулятор лизинга'!$F$18=Лист2!$A$3,Равномерное!N225,'Калькулятор лизинга'!Y220)),"")</f>
        <v/>
      </c>
      <c r="AD220" s="52"/>
      <c r="AE220" s="52"/>
      <c r="AF220" s="52"/>
      <c r="AG220" s="53" t="str">
        <f t="shared" si="11"/>
        <v/>
      </c>
      <c r="AH220" s="50" t="str">
        <f>IF(AG220&lt;=$O$16,IF($O$18=Лист2!$A$2,'Кредит аннуитет'!M225,'Кредит равномерное'!M225),"")</f>
        <v/>
      </c>
      <c r="AI220" s="52"/>
    </row>
    <row r="221" spans="24:35" ht="15.75" x14ac:dyDescent="0.25">
      <c r="X221" s="53" t="str">
        <f t="shared" si="9"/>
        <v/>
      </c>
      <c r="Y221" s="52"/>
      <c r="Z221" s="52"/>
      <c r="AA221" s="52"/>
      <c r="AB221" s="53" t="str">
        <f t="shared" si="10"/>
        <v/>
      </c>
      <c r="AC221" s="50" t="str">
        <f>IF(AB221&lt;=$F$16,IF($F$18=Лист2!$A$2,'Аннуитетное (с ндс)'!N227,IF('Калькулятор лизинга'!$F$18=Лист2!$A$3,Равномерное!N226,'Калькулятор лизинга'!Y221)),"")</f>
        <v/>
      </c>
      <c r="AD221" s="52"/>
      <c r="AE221" s="52"/>
      <c r="AF221" s="52"/>
      <c r="AG221" s="53" t="str">
        <f t="shared" si="11"/>
        <v/>
      </c>
      <c r="AH221" s="50" t="str">
        <f>IF(AG221&lt;=$O$16,IF($O$18=Лист2!$A$2,'Кредит аннуитет'!M226,'Кредит равномерное'!M226),"")</f>
        <v/>
      </c>
      <c r="AI221" s="52"/>
    </row>
    <row r="222" spans="24:35" ht="15.75" x14ac:dyDescent="0.25">
      <c r="X222" s="53" t="str">
        <f t="shared" si="9"/>
        <v/>
      </c>
      <c r="Y222" s="52"/>
      <c r="Z222" s="52"/>
      <c r="AA222" s="52"/>
      <c r="AB222" s="53" t="str">
        <f t="shared" si="10"/>
        <v/>
      </c>
      <c r="AC222" s="50" t="str">
        <f>IF(AB222&lt;=$F$16,IF($F$18=Лист2!$A$2,'Аннуитетное (с ндс)'!N228,IF('Калькулятор лизинга'!$F$18=Лист2!$A$3,Равномерное!N227,'Калькулятор лизинга'!Y222)),"")</f>
        <v/>
      </c>
      <c r="AD222" s="52"/>
      <c r="AE222" s="52"/>
      <c r="AF222" s="52"/>
      <c r="AG222" s="53" t="str">
        <f t="shared" si="11"/>
        <v/>
      </c>
      <c r="AH222" s="50" t="str">
        <f>IF(AG222&lt;=$O$16,IF($O$18=Лист2!$A$2,'Кредит аннуитет'!M227,'Кредит равномерное'!M227),"")</f>
        <v/>
      </c>
      <c r="AI222" s="52"/>
    </row>
    <row r="223" spans="24:35" ht="15.75" x14ac:dyDescent="0.25">
      <c r="X223" s="53" t="str">
        <f t="shared" si="9"/>
        <v/>
      </c>
      <c r="Y223" s="52"/>
      <c r="Z223" s="52"/>
      <c r="AA223" s="52"/>
      <c r="AB223" s="53" t="str">
        <f t="shared" si="10"/>
        <v/>
      </c>
      <c r="AC223" s="50" t="str">
        <f>IF(AB223&lt;=$F$16,IF($F$18=Лист2!$A$2,'Аннуитетное (с ндс)'!N229,IF('Калькулятор лизинга'!$F$18=Лист2!$A$3,Равномерное!N228,'Калькулятор лизинга'!Y223)),"")</f>
        <v/>
      </c>
      <c r="AD223" s="52"/>
      <c r="AE223" s="52"/>
      <c r="AF223" s="52"/>
      <c r="AG223" s="53" t="str">
        <f t="shared" si="11"/>
        <v/>
      </c>
      <c r="AH223" s="50" t="str">
        <f>IF(AG223&lt;=$O$16,IF($O$18=Лист2!$A$2,'Кредит аннуитет'!M228,'Кредит равномерное'!M228),"")</f>
        <v/>
      </c>
      <c r="AI223" s="52"/>
    </row>
    <row r="224" spans="24:35" ht="15.75" x14ac:dyDescent="0.25">
      <c r="X224" s="53" t="str">
        <f t="shared" si="9"/>
        <v/>
      </c>
      <c r="Y224" s="52"/>
      <c r="Z224" s="52"/>
      <c r="AA224" s="52"/>
      <c r="AB224" s="53" t="str">
        <f t="shared" si="10"/>
        <v/>
      </c>
      <c r="AC224" s="50" t="str">
        <f>IF(AB224&lt;=$F$16,IF($F$18=Лист2!$A$2,'Аннуитетное (с ндс)'!N230,IF('Калькулятор лизинга'!$F$18=Лист2!$A$3,Равномерное!N229,'Калькулятор лизинга'!Y224)),"")</f>
        <v/>
      </c>
      <c r="AD224" s="52"/>
      <c r="AE224" s="52"/>
      <c r="AF224" s="52"/>
      <c r="AG224" s="53" t="str">
        <f t="shared" si="11"/>
        <v/>
      </c>
      <c r="AH224" s="50" t="str">
        <f>IF(AG224&lt;=$O$16,IF($O$18=Лист2!$A$2,'Кредит аннуитет'!M229,'Кредит равномерное'!M229),"")</f>
        <v/>
      </c>
      <c r="AI224" s="52"/>
    </row>
    <row r="225" spans="24:35" ht="15.75" x14ac:dyDescent="0.25">
      <c r="X225" s="53" t="str">
        <f t="shared" si="9"/>
        <v/>
      </c>
      <c r="Y225" s="52"/>
      <c r="Z225" s="52"/>
      <c r="AA225" s="52"/>
      <c r="AB225" s="53" t="str">
        <f t="shared" si="10"/>
        <v/>
      </c>
      <c r="AC225" s="50" t="str">
        <f>IF(AB225&lt;=$F$16,IF($F$18=Лист2!$A$2,'Аннуитетное (с ндс)'!N231,IF('Калькулятор лизинга'!$F$18=Лист2!$A$3,Равномерное!N230,'Калькулятор лизинга'!Y225)),"")</f>
        <v/>
      </c>
      <c r="AD225" s="52"/>
      <c r="AE225" s="52"/>
      <c r="AF225" s="52"/>
      <c r="AG225" s="53" t="str">
        <f t="shared" si="11"/>
        <v/>
      </c>
      <c r="AH225" s="50" t="str">
        <f>IF(AG225&lt;=$O$16,IF($O$18=Лист2!$A$2,'Кредит аннуитет'!M230,'Кредит равномерное'!M230),"")</f>
        <v/>
      </c>
      <c r="AI225" s="52"/>
    </row>
    <row r="226" spans="24:35" ht="15.75" x14ac:dyDescent="0.25">
      <c r="X226" s="53" t="str">
        <f t="shared" si="9"/>
        <v/>
      </c>
      <c r="Y226" s="52"/>
      <c r="Z226" s="52"/>
      <c r="AA226" s="52"/>
      <c r="AB226" s="53" t="str">
        <f t="shared" si="10"/>
        <v/>
      </c>
      <c r="AC226" s="50" t="str">
        <f>IF(AB226&lt;=$F$16,IF($F$18=Лист2!$A$2,'Аннуитетное (с ндс)'!N232,IF('Калькулятор лизинга'!$F$18=Лист2!$A$3,Равномерное!N231,'Калькулятор лизинга'!Y226)),"")</f>
        <v/>
      </c>
      <c r="AD226" s="52"/>
      <c r="AE226" s="52"/>
      <c r="AF226" s="52"/>
      <c r="AG226" s="53" t="str">
        <f t="shared" si="11"/>
        <v/>
      </c>
      <c r="AH226" s="50" t="str">
        <f>IF(AG226&lt;=$O$16,IF($O$18=Лист2!$A$2,'Кредит аннуитет'!M231,'Кредит равномерное'!M231),"")</f>
        <v/>
      </c>
      <c r="AI226" s="52"/>
    </row>
    <row r="227" spans="24:35" ht="15.75" x14ac:dyDescent="0.25">
      <c r="X227" s="53" t="str">
        <f t="shared" si="9"/>
        <v/>
      </c>
      <c r="Y227" s="52"/>
      <c r="Z227" s="52"/>
      <c r="AA227" s="52"/>
      <c r="AB227" s="53" t="str">
        <f t="shared" si="10"/>
        <v/>
      </c>
      <c r="AC227" s="50" t="str">
        <f>IF(AB227&lt;=$F$16,IF($F$18=Лист2!$A$2,'Аннуитетное (с ндс)'!N233,IF('Калькулятор лизинга'!$F$18=Лист2!$A$3,Равномерное!N232,'Калькулятор лизинга'!Y227)),"")</f>
        <v/>
      </c>
      <c r="AD227" s="52"/>
      <c r="AE227" s="52"/>
      <c r="AF227" s="52"/>
      <c r="AG227" s="53" t="str">
        <f t="shared" si="11"/>
        <v/>
      </c>
      <c r="AH227" s="50" t="str">
        <f>IF(AG227&lt;=$O$16,IF($O$18=Лист2!$A$2,'Кредит аннуитет'!M232,'Кредит равномерное'!M232),"")</f>
        <v/>
      </c>
      <c r="AI227" s="52"/>
    </row>
    <row r="228" spans="24:35" ht="15.75" x14ac:dyDescent="0.25">
      <c r="X228" s="53" t="str">
        <f t="shared" si="9"/>
        <v/>
      </c>
      <c r="Y228" s="52"/>
      <c r="Z228" s="52"/>
      <c r="AA228" s="52"/>
      <c r="AB228" s="53" t="str">
        <f t="shared" si="10"/>
        <v/>
      </c>
      <c r="AC228" s="50" t="str">
        <f>IF(AB228&lt;=$F$16,IF($F$18=Лист2!$A$2,'Аннуитетное (с ндс)'!N234,IF('Калькулятор лизинга'!$F$18=Лист2!$A$3,Равномерное!N233,'Калькулятор лизинга'!Y228)),"")</f>
        <v/>
      </c>
      <c r="AD228" s="52"/>
      <c r="AE228" s="52"/>
      <c r="AF228" s="52"/>
      <c r="AG228" s="53" t="str">
        <f t="shared" si="11"/>
        <v/>
      </c>
      <c r="AH228" s="50" t="str">
        <f>IF(AG228&lt;=$O$16,IF($O$18=Лист2!$A$2,'Кредит аннуитет'!M233,'Кредит равномерное'!M233),"")</f>
        <v/>
      </c>
      <c r="AI228" s="52"/>
    </row>
    <row r="229" spans="24:35" ht="15.75" x14ac:dyDescent="0.25">
      <c r="X229" s="53" t="str">
        <f t="shared" si="9"/>
        <v/>
      </c>
      <c r="Y229" s="52"/>
      <c r="Z229" s="52"/>
      <c r="AA229" s="52"/>
      <c r="AB229" s="53" t="str">
        <f t="shared" si="10"/>
        <v/>
      </c>
      <c r="AC229" s="50" t="str">
        <f>IF(AB229&lt;=$F$16,IF($F$18=Лист2!$A$2,'Аннуитетное (с ндс)'!N235,IF('Калькулятор лизинга'!$F$18=Лист2!$A$3,Равномерное!N234,'Калькулятор лизинга'!Y229)),"")</f>
        <v/>
      </c>
      <c r="AD229" s="52"/>
      <c r="AE229" s="52"/>
      <c r="AF229" s="52"/>
      <c r="AG229" s="53" t="str">
        <f t="shared" si="11"/>
        <v/>
      </c>
      <c r="AH229" s="50" t="str">
        <f>IF(AG229&lt;=$O$16,IF($O$18=Лист2!$A$2,'Кредит аннуитет'!M234,'Кредит равномерное'!M234),"")</f>
        <v/>
      </c>
      <c r="AI229" s="52"/>
    </row>
    <row r="230" spans="24:35" ht="15.75" x14ac:dyDescent="0.25">
      <c r="X230" s="53" t="str">
        <f t="shared" si="9"/>
        <v/>
      </c>
      <c r="Y230" s="52"/>
      <c r="Z230" s="52"/>
      <c r="AA230" s="52"/>
      <c r="AB230" s="53" t="str">
        <f t="shared" si="10"/>
        <v/>
      </c>
      <c r="AC230" s="50" t="str">
        <f>IF(AB230&lt;=$F$16,IF($F$18=Лист2!$A$2,'Аннуитетное (с ндс)'!N236,IF('Калькулятор лизинга'!$F$18=Лист2!$A$3,Равномерное!N235,'Калькулятор лизинга'!Y230)),"")</f>
        <v/>
      </c>
      <c r="AD230" s="52"/>
      <c r="AE230" s="52"/>
      <c r="AF230" s="52"/>
      <c r="AG230" s="53" t="str">
        <f t="shared" si="11"/>
        <v/>
      </c>
      <c r="AH230" s="50" t="str">
        <f>IF(AG230&lt;=$O$16,IF($O$18=Лист2!$A$2,'Кредит аннуитет'!M235,'Кредит равномерное'!M235),"")</f>
        <v/>
      </c>
      <c r="AI230" s="52"/>
    </row>
    <row r="231" spans="24:35" ht="15.75" x14ac:dyDescent="0.25">
      <c r="X231" s="53" t="str">
        <f t="shared" si="9"/>
        <v/>
      </c>
      <c r="Y231" s="52"/>
      <c r="Z231" s="52"/>
      <c r="AA231" s="52"/>
      <c r="AB231" s="53" t="str">
        <f t="shared" si="10"/>
        <v/>
      </c>
      <c r="AC231" s="50" t="str">
        <f>IF(AB231&lt;=$F$16,IF($F$18=Лист2!$A$2,'Аннуитетное (с ндс)'!N237,IF('Калькулятор лизинга'!$F$18=Лист2!$A$3,Равномерное!N236,'Калькулятор лизинга'!Y231)),"")</f>
        <v/>
      </c>
      <c r="AD231" s="52"/>
      <c r="AE231" s="52"/>
      <c r="AF231" s="52"/>
      <c r="AG231" s="53" t="str">
        <f t="shared" si="11"/>
        <v/>
      </c>
      <c r="AH231" s="50" t="str">
        <f>IF(AG231&lt;=$O$16,IF($O$18=Лист2!$A$2,'Кредит аннуитет'!M236,'Кредит равномерное'!M236),"")</f>
        <v/>
      </c>
      <c r="AI231" s="52"/>
    </row>
    <row r="232" spans="24:35" ht="15.75" x14ac:dyDescent="0.25">
      <c r="X232" s="53" t="str">
        <f t="shared" si="9"/>
        <v/>
      </c>
      <c r="Y232" s="52"/>
      <c r="Z232" s="52"/>
      <c r="AA232" s="52"/>
      <c r="AB232" s="53" t="str">
        <f t="shared" si="10"/>
        <v/>
      </c>
      <c r="AC232" s="50" t="str">
        <f>IF(AB232&lt;=$F$16,IF($F$18=Лист2!$A$2,'Аннуитетное (с ндс)'!N238,IF('Калькулятор лизинга'!$F$18=Лист2!$A$3,Равномерное!N237,'Калькулятор лизинга'!Y232)),"")</f>
        <v/>
      </c>
      <c r="AD232" s="52"/>
      <c r="AE232" s="52"/>
      <c r="AF232" s="52"/>
      <c r="AG232" s="53" t="str">
        <f t="shared" si="11"/>
        <v/>
      </c>
      <c r="AH232" s="50" t="str">
        <f>IF(AG232&lt;=$O$16,IF($O$18=Лист2!$A$2,'Кредит аннуитет'!M237,'Кредит равномерное'!M237),"")</f>
        <v/>
      </c>
      <c r="AI232" s="52"/>
    </row>
    <row r="233" spans="24:35" ht="15.75" x14ac:dyDescent="0.25">
      <c r="X233" s="53" t="str">
        <f t="shared" si="9"/>
        <v/>
      </c>
      <c r="Y233" s="52"/>
      <c r="Z233" s="52"/>
      <c r="AA233" s="52"/>
      <c r="AB233" s="53" t="str">
        <f t="shared" si="10"/>
        <v/>
      </c>
      <c r="AC233" s="50" t="str">
        <f>IF(AB233&lt;=$F$16,IF($F$18=Лист2!$A$2,'Аннуитетное (с ндс)'!N239,IF('Калькулятор лизинга'!$F$18=Лист2!$A$3,Равномерное!N238,'Калькулятор лизинга'!Y233)),"")</f>
        <v/>
      </c>
      <c r="AD233" s="52"/>
      <c r="AE233" s="52"/>
      <c r="AF233" s="52"/>
      <c r="AG233" s="53" t="str">
        <f t="shared" si="11"/>
        <v/>
      </c>
      <c r="AH233" s="50" t="str">
        <f>IF(AG233&lt;=$O$16,IF($O$18=Лист2!$A$2,'Кредит аннуитет'!M238,'Кредит равномерное'!M238),"")</f>
        <v/>
      </c>
      <c r="AI233" s="52"/>
    </row>
    <row r="234" spans="24:35" ht="15.75" x14ac:dyDescent="0.25">
      <c r="X234" s="53" t="str">
        <f t="shared" si="9"/>
        <v/>
      </c>
      <c r="Y234" s="52"/>
      <c r="Z234" s="52"/>
      <c r="AA234" s="52"/>
      <c r="AB234" s="53" t="str">
        <f t="shared" si="10"/>
        <v/>
      </c>
      <c r="AC234" s="50" t="str">
        <f>IF(AB234&lt;=$F$16,IF($F$18=Лист2!$A$2,'Аннуитетное (с ндс)'!N240,IF('Калькулятор лизинга'!$F$18=Лист2!$A$3,Равномерное!N239,'Калькулятор лизинга'!Y234)),"")</f>
        <v/>
      </c>
      <c r="AD234" s="52"/>
      <c r="AE234" s="52"/>
      <c r="AF234" s="52"/>
      <c r="AG234" s="53" t="str">
        <f t="shared" si="11"/>
        <v/>
      </c>
      <c r="AH234" s="50" t="str">
        <f>IF(AG234&lt;=$O$16,IF($O$18=Лист2!$A$2,'Кредит аннуитет'!M239,'Кредит равномерное'!M239),"")</f>
        <v/>
      </c>
      <c r="AI234" s="52"/>
    </row>
    <row r="235" spans="24:35" ht="15.75" x14ac:dyDescent="0.25">
      <c r="X235" s="53" t="str">
        <f t="shared" si="9"/>
        <v/>
      </c>
      <c r="Y235" s="52"/>
      <c r="Z235" s="52"/>
      <c r="AA235" s="52"/>
      <c r="AB235" s="53" t="str">
        <f t="shared" si="10"/>
        <v/>
      </c>
      <c r="AC235" s="50" t="str">
        <f>IF(AB235&lt;=$F$16,IF($F$18=Лист2!$A$2,'Аннуитетное (с ндс)'!N241,IF('Калькулятор лизинга'!$F$18=Лист2!$A$3,Равномерное!N240,'Калькулятор лизинга'!Y235)),"")</f>
        <v/>
      </c>
      <c r="AD235" s="52"/>
      <c r="AE235" s="52"/>
      <c r="AF235" s="52"/>
      <c r="AG235" s="53" t="str">
        <f t="shared" si="11"/>
        <v/>
      </c>
      <c r="AH235" s="50" t="str">
        <f>IF(AG235&lt;=$O$16,IF($O$18=Лист2!$A$2,'Кредит аннуитет'!M240,'Кредит равномерное'!M240),"")</f>
        <v/>
      </c>
      <c r="AI235" s="52"/>
    </row>
    <row r="236" spans="24:35" ht="15.75" x14ac:dyDescent="0.25">
      <c r="X236" s="53" t="str">
        <f t="shared" si="9"/>
        <v/>
      </c>
      <c r="Y236" s="52"/>
      <c r="Z236" s="52"/>
      <c r="AA236" s="52"/>
      <c r="AB236" s="53" t="str">
        <f t="shared" si="10"/>
        <v/>
      </c>
      <c r="AC236" s="50" t="str">
        <f>IF(AB236&lt;=$F$16,IF($F$18=Лист2!$A$2,'Аннуитетное (с ндс)'!N242,IF('Калькулятор лизинга'!$F$18=Лист2!$A$3,Равномерное!N241,'Калькулятор лизинга'!Y236)),"")</f>
        <v/>
      </c>
      <c r="AD236" s="52"/>
      <c r="AE236" s="52"/>
      <c r="AF236" s="52"/>
      <c r="AG236" s="53" t="str">
        <f t="shared" si="11"/>
        <v/>
      </c>
      <c r="AH236" s="50" t="str">
        <f>IF(AG236&lt;=$O$16,IF($O$18=Лист2!$A$2,'Кредит аннуитет'!M241,'Кредит равномерное'!M241),"")</f>
        <v/>
      </c>
      <c r="AI236" s="52"/>
    </row>
    <row r="237" spans="24:35" ht="15.75" x14ac:dyDescent="0.25">
      <c r="X237" s="53" t="str">
        <f t="shared" si="9"/>
        <v/>
      </c>
      <c r="Y237" s="52"/>
      <c r="Z237" s="52"/>
      <c r="AA237" s="52"/>
      <c r="AB237" s="53" t="str">
        <f t="shared" si="10"/>
        <v/>
      </c>
      <c r="AC237" s="50" t="str">
        <f>IF(AB237&lt;=$F$16,IF($F$18=Лист2!$A$2,'Аннуитетное (с ндс)'!N243,IF('Калькулятор лизинга'!$F$18=Лист2!$A$3,Равномерное!N242,'Калькулятор лизинга'!Y237)),"")</f>
        <v/>
      </c>
      <c r="AD237" s="52"/>
      <c r="AE237" s="52"/>
      <c r="AF237" s="52"/>
      <c r="AG237" s="53" t="str">
        <f t="shared" si="11"/>
        <v/>
      </c>
      <c r="AH237" s="50" t="str">
        <f>IF(AG237&lt;=$O$16,IF($O$18=Лист2!$A$2,'Кредит аннуитет'!M242,'Кредит равномерное'!M242),"")</f>
        <v/>
      </c>
      <c r="AI237" s="52"/>
    </row>
    <row r="238" spans="24:35" ht="15.75" x14ac:dyDescent="0.25">
      <c r="X238" s="53" t="str">
        <f t="shared" si="9"/>
        <v/>
      </c>
      <c r="Y238" s="52"/>
      <c r="Z238" s="52"/>
      <c r="AA238" s="52"/>
      <c r="AB238" s="53" t="str">
        <f t="shared" si="10"/>
        <v/>
      </c>
      <c r="AC238" s="50" t="str">
        <f>IF(AB238&lt;=$F$16,IF($F$18=Лист2!$A$2,'Аннуитетное (с ндс)'!N244,IF('Калькулятор лизинга'!$F$18=Лист2!$A$3,Равномерное!N243,'Калькулятор лизинга'!Y238)),"")</f>
        <v/>
      </c>
      <c r="AD238" s="52"/>
      <c r="AE238" s="52"/>
      <c r="AF238" s="52"/>
      <c r="AG238" s="53" t="str">
        <f t="shared" si="11"/>
        <v/>
      </c>
      <c r="AH238" s="50" t="str">
        <f>IF(AG238&lt;=$O$16,IF($O$18=Лист2!$A$2,'Кредит аннуитет'!M243,'Кредит равномерное'!M243),"")</f>
        <v/>
      </c>
      <c r="AI238" s="52"/>
    </row>
    <row r="239" spans="24:35" ht="15.75" x14ac:dyDescent="0.25">
      <c r="X239" s="53" t="str">
        <f t="shared" si="9"/>
        <v/>
      </c>
      <c r="Y239" s="52"/>
      <c r="Z239" s="52"/>
      <c r="AA239" s="52"/>
      <c r="AB239" s="53" t="str">
        <f t="shared" si="10"/>
        <v/>
      </c>
      <c r="AC239" s="50" t="str">
        <f>IF(AB239&lt;=$F$16,IF($F$18=Лист2!$A$2,'Аннуитетное (с ндс)'!N245,IF('Калькулятор лизинга'!$F$18=Лист2!$A$3,Равномерное!N244,'Калькулятор лизинга'!Y239)),"")</f>
        <v/>
      </c>
      <c r="AD239" s="52"/>
      <c r="AE239" s="52"/>
      <c r="AF239" s="52"/>
      <c r="AG239" s="53" t="str">
        <f t="shared" si="11"/>
        <v/>
      </c>
      <c r="AH239" s="50" t="str">
        <f>IF(AG239&lt;=$O$16,IF($O$18=Лист2!$A$2,'Кредит аннуитет'!M244,'Кредит равномерное'!M244),"")</f>
        <v/>
      </c>
      <c r="AI239" s="52"/>
    </row>
    <row r="240" spans="24:35" ht="15.75" x14ac:dyDescent="0.25">
      <c r="X240" s="53" t="str">
        <f t="shared" si="9"/>
        <v/>
      </c>
      <c r="Y240" s="52"/>
      <c r="Z240" s="52"/>
      <c r="AA240" s="52"/>
      <c r="AB240" s="53" t="str">
        <f t="shared" si="10"/>
        <v/>
      </c>
      <c r="AC240" s="50" t="str">
        <f>IF(AB240&lt;=$F$16,IF($F$18=Лист2!$A$2,'Аннуитетное (с ндс)'!N246,IF('Калькулятор лизинга'!$F$18=Лист2!$A$3,Равномерное!N245,'Калькулятор лизинга'!Y240)),"")</f>
        <v/>
      </c>
      <c r="AD240" s="52"/>
      <c r="AE240" s="52"/>
      <c r="AF240" s="52"/>
      <c r="AG240" s="53" t="str">
        <f t="shared" si="11"/>
        <v/>
      </c>
      <c r="AH240" s="50" t="str">
        <f>IF(AG240&lt;=$O$16,IF($O$18=Лист2!$A$2,'Кредит аннуитет'!M245,'Кредит равномерное'!M245),"")</f>
        <v/>
      </c>
      <c r="AI240" s="52"/>
    </row>
    <row r="241" spans="24:35" ht="15.75" x14ac:dyDescent="0.25">
      <c r="X241" s="53" t="str">
        <f t="shared" si="9"/>
        <v/>
      </c>
      <c r="Y241" s="52"/>
      <c r="Z241" s="52"/>
      <c r="AA241" s="52"/>
      <c r="AB241" s="53" t="str">
        <f t="shared" si="10"/>
        <v/>
      </c>
      <c r="AC241" s="50" t="str">
        <f>IF(AB241&lt;=$F$16,IF($F$18=Лист2!$A$2,'Аннуитетное (с ндс)'!N247,IF('Калькулятор лизинга'!$F$18=Лист2!$A$3,Равномерное!N246,'Калькулятор лизинга'!Y241)),"")</f>
        <v/>
      </c>
      <c r="AD241" s="52"/>
      <c r="AE241" s="52"/>
      <c r="AF241" s="52"/>
      <c r="AG241" s="53" t="str">
        <f t="shared" si="11"/>
        <v/>
      </c>
      <c r="AH241" s="50" t="str">
        <f>IF(AG241&lt;=$O$16,IF($O$18=Лист2!$A$2,'Кредит аннуитет'!M246,'Кредит равномерное'!M246),"")</f>
        <v/>
      </c>
      <c r="AI241" s="52"/>
    </row>
    <row r="242" spans="24:35" ht="15.75" x14ac:dyDescent="0.25">
      <c r="X242" s="53" t="str">
        <f t="shared" si="9"/>
        <v/>
      </c>
      <c r="Y242" s="52"/>
      <c r="Z242" s="52"/>
      <c r="AA242" s="52"/>
      <c r="AB242" s="53" t="str">
        <f t="shared" si="10"/>
        <v/>
      </c>
      <c r="AC242" s="50" t="str">
        <f>IF(AB242&lt;=$F$16,IF($F$18=Лист2!$A$2,'Аннуитетное (с ндс)'!N248,IF('Калькулятор лизинга'!$F$18=Лист2!$A$3,Равномерное!N247,'Калькулятор лизинга'!Y242)),"")</f>
        <v/>
      </c>
      <c r="AD242" s="52"/>
      <c r="AE242" s="52"/>
      <c r="AF242" s="52"/>
      <c r="AG242" s="53" t="str">
        <f t="shared" si="11"/>
        <v/>
      </c>
      <c r="AH242" s="50" t="str">
        <f>IF(AG242&lt;=$O$16,IF($O$18=Лист2!$A$2,'Кредит аннуитет'!M247,'Кредит равномерное'!M247),"")</f>
        <v/>
      </c>
      <c r="AI242" s="52"/>
    </row>
    <row r="243" spans="24:35" ht="15.75" x14ac:dyDescent="0.25">
      <c r="X243" s="53" t="str">
        <f t="shared" si="9"/>
        <v/>
      </c>
      <c r="Y243" s="52"/>
      <c r="Z243" s="52"/>
      <c r="AA243" s="52"/>
      <c r="AB243" s="53" t="str">
        <f t="shared" si="10"/>
        <v/>
      </c>
      <c r="AC243" s="50" t="str">
        <f>IF(AB243&lt;=$F$16,IF($F$18=Лист2!$A$2,'Аннуитетное (с ндс)'!N249,IF('Калькулятор лизинга'!$F$18=Лист2!$A$3,Равномерное!N248,'Калькулятор лизинга'!Y243)),"")</f>
        <v/>
      </c>
      <c r="AD243" s="52"/>
      <c r="AE243" s="52"/>
      <c r="AF243" s="52"/>
      <c r="AG243" s="53" t="str">
        <f t="shared" si="11"/>
        <v/>
      </c>
      <c r="AH243" s="50" t="str">
        <f>IF(AG243&lt;=$O$16,IF($O$18=Лист2!$A$2,'Кредит аннуитет'!M248,'Кредит равномерное'!M248),"")</f>
        <v/>
      </c>
      <c r="AI243" s="52"/>
    </row>
    <row r="244" spans="24:35" ht="15.75" x14ac:dyDescent="0.25">
      <c r="X244" s="53" t="str">
        <f t="shared" si="9"/>
        <v/>
      </c>
      <c r="Y244" s="52"/>
      <c r="Z244" s="52"/>
      <c r="AA244" s="52"/>
      <c r="AB244" s="53" t="str">
        <f t="shared" si="10"/>
        <v/>
      </c>
      <c r="AC244" s="50" t="str">
        <f>IF(AB244&lt;=$F$16,IF($F$18=Лист2!$A$2,'Аннуитетное (с ндс)'!N250,IF('Калькулятор лизинга'!$F$18=Лист2!$A$3,Равномерное!N249,'Калькулятор лизинга'!Y244)),"")</f>
        <v/>
      </c>
      <c r="AD244" s="52"/>
      <c r="AE244" s="52"/>
      <c r="AF244" s="52"/>
      <c r="AG244" s="53" t="str">
        <f t="shared" si="11"/>
        <v/>
      </c>
      <c r="AH244" s="50" t="str">
        <f>IF(AG244&lt;=$O$16,IF($O$18=Лист2!$A$2,'Кредит аннуитет'!M249,'Кредит равномерное'!M249),"")</f>
        <v/>
      </c>
      <c r="AI244" s="52"/>
    </row>
    <row r="245" spans="24:35" ht="15.75" x14ac:dyDescent="0.25">
      <c r="X245" s="53" t="str">
        <f t="shared" si="9"/>
        <v/>
      </c>
      <c r="Y245" s="52"/>
      <c r="Z245" s="52"/>
      <c r="AA245" s="52"/>
      <c r="AB245" s="53" t="str">
        <f t="shared" si="10"/>
        <v/>
      </c>
      <c r="AC245" s="50" t="str">
        <f>IF(AB245&lt;=$F$16,IF($F$18=Лист2!$A$2,'Аннуитетное (с ндс)'!N251,IF('Калькулятор лизинга'!$F$18=Лист2!$A$3,Равномерное!N250,'Калькулятор лизинга'!Y245)),"")</f>
        <v/>
      </c>
      <c r="AD245" s="52"/>
      <c r="AE245" s="52"/>
      <c r="AF245" s="52"/>
      <c r="AG245" s="53" t="str">
        <f t="shared" si="11"/>
        <v/>
      </c>
      <c r="AH245" s="50" t="str">
        <f>IF(AG245&lt;=$O$16,IF($O$18=Лист2!$A$2,'Кредит аннуитет'!M250,'Кредит равномерное'!M250),"")</f>
        <v/>
      </c>
      <c r="AI245" s="52"/>
    </row>
    <row r="246" spans="24:35" ht="15.75" x14ac:dyDescent="0.25">
      <c r="X246" s="53" t="str">
        <f t="shared" si="9"/>
        <v/>
      </c>
      <c r="Y246" s="52"/>
      <c r="Z246" s="52"/>
      <c r="AA246" s="52"/>
      <c r="AB246" s="53" t="str">
        <f t="shared" si="10"/>
        <v/>
      </c>
      <c r="AC246" s="50" t="str">
        <f>IF(AB246&lt;=$F$16,IF($F$18=Лист2!$A$2,'Аннуитетное (с ндс)'!N252,IF('Калькулятор лизинга'!$F$18=Лист2!$A$3,Равномерное!N251,'Калькулятор лизинга'!Y246)),"")</f>
        <v/>
      </c>
      <c r="AD246" s="52"/>
      <c r="AE246" s="52"/>
      <c r="AF246" s="52"/>
      <c r="AG246" s="53" t="str">
        <f t="shared" si="11"/>
        <v/>
      </c>
      <c r="AH246" s="50" t="str">
        <f>IF(AG246&lt;=$O$16,IF($O$18=Лист2!$A$2,'Кредит аннуитет'!M251,'Кредит равномерное'!M251),"")</f>
        <v/>
      </c>
      <c r="AI246" s="52"/>
    </row>
    <row r="247" spans="24:35" ht="15.75" x14ac:dyDescent="0.25">
      <c r="X247" s="53" t="str">
        <f t="shared" si="9"/>
        <v/>
      </c>
      <c r="Y247" s="52"/>
      <c r="Z247" s="52"/>
      <c r="AA247" s="52"/>
      <c r="AB247" s="53" t="str">
        <f t="shared" si="10"/>
        <v/>
      </c>
      <c r="AC247" s="50" t="str">
        <f>IF(AB247&lt;=$F$16,IF($F$18=Лист2!$A$2,'Аннуитетное (с ндс)'!N253,IF('Калькулятор лизинга'!$F$18=Лист2!$A$3,Равномерное!N252,'Калькулятор лизинга'!Y247)),"")</f>
        <v/>
      </c>
      <c r="AD247" s="52"/>
      <c r="AE247" s="52"/>
      <c r="AF247" s="52"/>
      <c r="AG247" s="53" t="str">
        <f t="shared" si="11"/>
        <v/>
      </c>
      <c r="AH247" s="50" t="str">
        <f>IF(AG247&lt;=$O$16,IF($O$18=Лист2!$A$2,'Кредит аннуитет'!M252,'Кредит равномерное'!M252),"")</f>
        <v/>
      </c>
      <c r="AI247" s="52"/>
    </row>
    <row r="248" spans="24:35" ht="15.75" x14ac:dyDescent="0.25">
      <c r="X248" s="53" t="str">
        <f t="shared" si="9"/>
        <v/>
      </c>
      <c r="Y248" s="52"/>
      <c r="Z248" s="52"/>
      <c r="AA248" s="52"/>
      <c r="AB248" s="53" t="str">
        <f t="shared" si="10"/>
        <v/>
      </c>
      <c r="AC248" s="50" t="str">
        <f>IF(AB248&lt;=$F$16,IF($F$18=Лист2!$A$2,'Аннуитетное (с ндс)'!N254,IF('Калькулятор лизинга'!$F$18=Лист2!$A$3,Равномерное!N253,'Калькулятор лизинга'!Y248)),"")</f>
        <v/>
      </c>
      <c r="AD248" s="52"/>
      <c r="AE248" s="52"/>
      <c r="AF248" s="52"/>
      <c r="AG248" s="53" t="str">
        <f t="shared" si="11"/>
        <v/>
      </c>
      <c r="AH248" s="50" t="str">
        <f>IF(AG248&lt;=$O$16,IF($O$18=Лист2!$A$2,'Кредит аннуитет'!M253,'Кредит равномерное'!M253),"")</f>
        <v/>
      </c>
      <c r="AI248" s="52"/>
    </row>
    <row r="249" spans="24:35" ht="15.75" x14ac:dyDescent="0.25">
      <c r="X249" s="53" t="str">
        <f t="shared" si="9"/>
        <v/>
      </c>
      <c r="Y249" s="52"/>
      <c r="Z249" s="52"/>
      <c r="AA249" s="52"/>
      <c r="AB249" s="53" t="str">
        <f t="shared" si="10"/>
        <v/>
      </c>
      <c r="AC249" s="50" t="str">
        <f>IF(AB249&lt;=$F$16,IF($F$18=Лист2!$A$2,'Аннуитетное (с ндс)'!N255,IF('Калькулятор лизинга'!$F$18=Лист2!$A$3,Равномерное!N254,'Калькулятор лизинга'!Y249)),"")</f>
        <v/>
      </c>
      <c r="AD249" s="52"/>
      <c r="AE249" s="52"/>
      <c r="AF249" s="52"/>
      <c r="AG249" s="53" t="str">
        <f t="shared" si="11"/>
        <v/>
      </c>
      <c r="AH249" s="50" t="str">
        <f>IF(AG249&lt;=$O$16,IF($O$18=Лист2!$A$2,'Кредит аннуитет'!M254,'Кредит равномерное'!M254),"")</f>
        <v/>
      </c>
      <c r="AI249" s="52"/>
    </row>
    <row r="250" spans="24:35" ht="15.75" x14ac:dyDescent="0.25">
      <c r="X250" s="53" t="str">
        <f t="shared" si="9"/>
        <v/>
      </c>
      <c r="Y250" s="52"/>
      <c r="Z250" s="52"/>
      <c r="AA250" s="52"/>
      <c r="AB250" s="53" t="str">
        <f t="shared" si="10"/>
        <v/>
      </c>
      <c r="AC250" s="50" t="str">
        <f>IF(AB250&lt;=$F$16,IF($F$18=Лист2!$A$2,'Аннуитетное (с ндс)'!N256,IF('Калькулятор лизинга'!$F$18=Лист2!$A$3,Равномерное!N255,'Калькулятор лизинга'!Y250)),"")</f>
        <v/>
      </c>
      <c r="AD250" s="52"/>
      <c r="AE250" s="52"/>
      <c r="AF250" s="52"/>
      <c r="AG250" s="53" t="str">
        <f t="shared" si="11"/>
        <v/>
      </c>
      <c r="AH250" s="50" t="str">
        <f>IF(AG250&lt;=$O$16,IF($O$18=Лист2!$A$2,'Кредит аннуитет'!M255,'Кредит равномерное'!M255),"")</f>
        <v/>
      </c>
      <c r="AI250" s="52"/>
    </row>
    <row r="251" spans="24:35" ht="15.75" x14ac:dyDescent="0.25">
      <c r="X251" s="53" t="str">
        <f t="shared" si="9"/>
        <v/>
      </c>
      <c r="Y251" s="52"/>
      <c r="Z251" s="52"/>
      <c r="AA251" s="52"/>
      <c r="AB251" s="53" t="str">
        <f t="shared" si="10"/>
        <v/>
      </c>
      <c r="AC251" s="50" t="str">
        <f>IF(AB251&lt;=$F$16,IF($F$18=Лист2!$A$2,'Аннуитетное (с ндс)'!N257,IF('Калькулятор лизинга'!$F$18=Лист2!$A$3,Равномерное!N256,'Калькулятор лизинга'!Y251)),"")</f>
        <v/>
      </c>
      <c r="AD251" s="52"/>
      <c r="AE251" s="52"/>
      <c r="AF251" s="52"/>
      <c r="AG251" s="53" t="str">
        <f t="shared" si="11"/>
        <v/>
      </c>
      <c r="AH251" s="50" t="str">
        <f>IF(AG251&lt;=$O$16,IF($O$18=Лист2!$A$2,'Кредит аннуитет'!M256,'Кредит равномерное'!M256),"")</f>
        <v/>
      </c>
      <c r="AI251" s="52"/>
    </row>
    <row r="252" spans="24:35" ht="15.75" x14ac:dyDescent="0.25">
      <c r="X252" s="53" t="str">
        <f t="shared" si="9"/>
        <v/>
      </c>
      <c r="Y252" s="52"/>
      <c r="Z252" s="52"/>
      <c r="AA252" s="52"/>
      <c r="AB252" s="53" t="str">
        <f t="shared" si="10"/>
        <v/>
      </c>
      <c r="AC252" s="50" t="str">
        <f>IF(AB252&lt;=$F$16,IF($F$18=Лист2!$A$2,'Аннуитетное (с ндс)'!N258,IF('Калькулятор лизинга'!$F$18=Лист2!$A$3,Равномерное!N257,'Калькулятор лизинга'!Y252)),"")</f>
        <v/>
      </c>
      <c r="AD252" s="52"/>
      <c r="AE252" s="52"/>
      <c r="AF252" s="52"/>
      <c r="AG252" s="53" t="str">
        <f t="shared" si="11"/>
        <v/>
      </c>
      <c r="AH252" s="50" t="str">
        <f>IF(AG252&lt;=$O$16,IF($O$18=Лист2!$A$2,'Кредит аннуитет'!M257,'Кредит равномерное'!M257),"")</f>
        <v/>
      </c>
      <c r="AI252" s="52"/>
    </row>
    <row r="253" spans="24:35" ht="15.75" x14ac:dyDescent="0.25">
      <c r="X253" s="53" t="str">
        <f t="shared" si="9"/>
        <v/>
      </c>
      <c r="Y253" s="52"/>
      <c r="Z253" s="52"/>
      <c r="AA253" s="52"/>
      <c r="AB253" s="53" t="str">
        <f t="shared" si="10"/>
        <v/>
      </c>
      <c r="AC253" s="50" t="str">
        <f>IF(AB253&lt;=$F$16,IF($F$18=Лист2!$A$2,'Аннуитетное (с ндс)'!N259,IF('Калькулятор лизинга'!$F$18=Лист2!$A$3,Равномерное!N258,'Калькулятор лизинга'!Y253)),"")</f>
        <v/>
      </c>
      <c r="AD253" s="52"/>
      <c r="AE253" s="52"/>
      <c r="AF253" s="52"/>
      <c r="AG253" s="53" t="str">
        <f t="shared" si="11"/>
        <v/>
      </c>
      <c r="AH253" s="50" t="str">
        <f>IF(AG253&lt;=$O$16,IF($O$18=Лист2!$A$2,'Кредит аннуитет'!M258,'Кредит равномерное'!M258),"")</f>
        <v/>
      </c>
      <c r="AI253" s="52"/>
    </row>
    <row r="254" spans="24:35" ht="15.75" x14ac:dyDescent="0.25">
      <c r="X254" s="53" t="str">
        <f t="shared" si="9"/>
        <v/>
      </c>
      <c r="Y254" s="52"/>
      <c r="Z254" s="52"/>
      <c r="AA254" s="52"/>
      <c r="AB254" s="53" t="str">
        <f t="shared" si="10"/>
        <v/>
      </c>
      <c r="AC254" s="50" t="str">
        <f>IF(AB254&lt;=$F$16,IF($F$18=Лист2!$A$2,'Аннуитетное (с ндс)'!N260,IF('Калькулятор лизинга'!$F$18=Лист2!$A$3,Равномерное!N259,'Калькулятор лизинга'!Y254)),"")</f>
        <v/>
      </c>
      <c r="AD254" s="52"/>
      <c r="AE254" s="52"/>
      <c r="AF254" s="52"/>
      <c r="AG254" s="53" t="str">
        <f t="shared" si="11"/>
        <v/>
      </c>
      <c r="AH254" s="50" t="str">
        <f>IF(AG254&lt;=$O$16,IF($O$18=Лист2!$A$2,'Кредит аннуитет'!M259,'Кредит равномерное'!M259),"")</f>
        <v/>
      </c>
      <c r="AI254" s="52"/>
    </row>
    <row r="255" spans="24:35" ht="15.75" x14ac:dyDescent="0.25">
      <c r="X255" s="53" t="str">
        <f t="shared" si="9"/>
        <v/>
      </c>
      <c r="Y255" s="52"/>
      <c r="Z255" s="52"/>
      <c r="AA255" s="52"/>
      <c r="AB255" s="53" t="str">
        <f t="shared" si="10"/>
        <v/>
      </c>
      <c r="AC255" s="50" t="str">
        <f>IF(AB255&lt;=$F$16,IF($F$18=Лист2!$A$2,'Аннуитетное (с ндс)'!N261,IF('Калькулятор лизинга'!$F$18=Лист2!$A$3,Равномерное!N260,'Калькулятор лизинга'!Y255)),"")</f>
        <v/>
      </c>
      <c r="AD255" s="52"/>
      <c r="AE255" s="52"/>
      <c r="AF255" s="52"/>
      <c r="AG255" s="53" t="str">
        <f t="shared" si="11"/>
        <v/>
      </c>
      <c r="AH255" s="50" t="str">
        <f>IF(AG255&lt;=$O$16,IF($O$18=Лист2!$A$2,'Кредит аннуитет'!M260,'Кредит равномерное'!M260),"")</f>
        <v/>
      </c>
      <c r="AI255" s="52"/>
    </row>
    <row r="256" spans="24:35" ht="15.75" x14ac:dyDescent="0.25">
      <c r="X256" s="53" t="str">
        <f t="shared" si="9"/>
        <v/>
      </c>
      <c r="Y256" s="52"/>
      <c r="Z256" s="52"/>
      <c r="AA256" s="52"/>
      <c r="AB256" s="53" t="str">
        <f t="shared" si="10"/>
        <v/>
      </c>
      <c r="AC256" s="50" t="str">
        <f>IF(AB256&lt;=$F$16,IF($F$18=Лист2!$A$2,'Аннуитетное (с ндс)'!N262,IF('Калькулятор лизинга'!$F$18=Лист2!$A$3,Равномерное!N261,'Калькулятор лизинга'!Y256)),"")</f>
        <v/>
      </c>
      <c r="AD256" s="52"/>
      <c r="AE256" s="52"/>
      <c r="AF256" s="52"/>
      <c r="AG256" s="53" t="str">
        <f t="shared" si="11"/>
        <v/>
      </c>
      <c r="AH256" s="50" t="str">
        <f>IF(AG256&lt;=$O$16,IF($O$18=Лист2!$A$2,'Кредит аннуитет'!M261,'Кредит равномерное'!M261),"")</f>
        <v/>
      </c>
      <c r="AI256" s="52"/>
    </row>
    <row r="257" spans="24:35" ht="15.75" x14ac:dyDescent="0.25">
      <c r="X257" s="53" t="str">
        <f t="shared" si="9"/>
        <v/>
      </c>
      <c r="Y257" s="52"/>
      <c r="Z257" s="52"/>
      <c r="AA257" s="52"/>
      <c r="AB257" s="53" t="str">
        <f t="shared" si="10"/>
        <v/>
      </c>
      <c r="AC257" s="50" t="str">
        <f>IF(AB257&lt;=$F$16,IF($F$18=Лист2!$A$2,'Аннуитетное (с ндс)'!N263,IF('Калькулятор лизинга'!$F$18=Лист2!$A$3,Равномерное!N262,'Калькулятор лизинга'!Y257)),"")</f>
        <v/>
      </c>
      <c r="AD257" s="52"/>
      <c r="AE257" s="52"/>
      <c r="AF257" s="52"/>
      <c r="AG257" s="53" t="str">
        <f t="shared" si="11"/>
        <v/>
      </c>
      <c r="AH257" s="50" t="str">
        <f>IF(AG257&lt;=$O$16,IF($O$18=Лист2!$A$2,'Кредит аннуитет'!M262,'Кредит равномерное'!M262),"")</f>
        <v/>
      </c>
      <c r="AI257" s="52"/>
    </row>
    <row r="258" spans="24:35" ht="15.75" x14ac:dyDescent="0.25">
      <c r="X258" s="53" t="str">
        <f t="shared" si="9"/>
        <v/>
      </c>
      <c r="Y258" s="52"/>
      <c r="Z258" s="52"/>
      <c r="AA258" s="52"/>
      <c r="AB258" s="53" t="str">
        <f t="shared" si="10"/>
        <v/>
      </c>
      <c r="AC258" s="50" t="str">
        <f>IF(AB258&lt;=$F$16,IF($F$18=Лист2!$A$2,'Аннуитетное (с ндс)'!N264,IF('Калькулятор лизинга'!$F$18=Лист2!$A$3,Равномерное!N263,'Калькулятор лизинга'!Y258)),"")</f>
        <v/>
      </c>
      <c r="AD258" s="52"/>
      <c r="AE258" s="52"/>
      <c r="AF258" s="52"/>
      <c r="AG258" s="53" t="str">
        <f t="shared" si="11"/>
        <v/>
      </c>
      <c r="AH258" s="50" t="str">
        <f>IF(AG258&lt;=$O$16,IF($O$18=Лист2!$A$2,'Кредит аннуитет'!M263,'Кредит равномерное'!M263),"")</f>
        <v/>
      </c>
      <c r="AI258" s="52"/>
    </row>
    <row r="259" spans="24:35" ht="15.75" x14ac:dyDescent="0.25">
      <c r="X259" s="53" t="str">
        <f t="shared" si="9"/>
        <v/>
      </c>
      <c r="Y259" s="52"/>
      <c r="Z259" s="52"/>
      <c r="AA259" s="52"/>
      <c r="AB259" s="53" t="str">
        <f t="shared" si="10"/>
        <v/>
      </c>
      <c r="AC259" s="50" t="str">
        <f>IF(AB259&lt;=$F$16,IF($F$18=Лист2!$A$2,'Аннуитетное (с ндс)'!N265,IF('Калькулятор лизинга'!$F$18=Лист2!$A$3,Равномерное!N264,'Калькулятор лизинга'!Y259)),"")</f>
        <v/>
      </c>
      <c r="AD259" s="52"/>
      <c r="AE259" s="52"/>
      <c r="AF259" s="52"/>
      <c r="AG259" s="53" t="str">
        <f t="shared" si="11"/>
        <v/>
      </c>
      <c r="AH259" s="50" t="str">
        <f>IF(AG259&lt;=$O$16,IF($O$18=Лист2!$A$2,'Кредит аннуитет'!M264,'Кредит равномерное'!M264),"")</f>
        <v/>
      </c>
      <c r="AI259" s="52"/>
    </row>
    <row r="260" spans="24:35" ht="15.75" x14ac:dyDescent="0.25">
      <c r="X260" s="53" t="str">
        <f t="shared" si="9"/>
        <v/>
      </c>
      <c r="Y260" s="52"/>
      <c r="Z260" s="52"/>
      <c r="AA260" s="52"/>
      <c r="AB260" s="53" t="str">
        <f t="shared" si="10"/>
        <v/>
      </c>
      <c r="AC260" s="50" t="str">
        <f>IF(AB260&lt;=$F$16,IF($F$18=Лист2!$A$2,'Аннуитетное (с ндс)'!N266,IF('Калькулятор лизинга'!$F$18=Лист2!$A$3,Равномерное!N265,'Калькулятор лизинга'!Y260)),"")</f>
        <v/>
      </c>
      <c r="AD260" s="52"/>
      <c r="AE260" s="52"/>
      <c r="AF260" s="52"/>
      <c r="AG260" s="53" t="str">
        <f t="shared" si="11"/>
        <v/>
      </c>
      <c r="AH260" s="50" t="str">
        <f>IF(AG260&lt;=$O$16,IF($O$18=Лист2!$A$2,'Кредит аннуитет'!M265,'Кредит равномерное'!M265),"")</f>
        <v/>
      </c>
      <c r="AI260" s="52"/>
    </row>
    <row r="261" spans="24:35" ht="15.75" x14ac:dyDescent="0.25">
      <c r="X261" s="53" t="str">
        <f t="shared" si="9"/>
        <v/>
      </c>
      <c r="Y261" s="52"/>
      <c r="Z261" s="52"/>
      <c r="AA261" s="52"/>
      <c r="AB261" s="53" t="str">
        <f t="shared" si="10"/>
        <v/>
      </c>
      <c r="AC261" s="50" t="str">
        <f>IF(AB261&lt;=$F$16,IF($F$18=Лист2!$A$2,'Аннуитетное (с ндс)'!N267,IF('Калькулятор лизинга'!$F$18=Лист2!$A$3,Равномерное!N266,'Калькулятор лизинга'!Y261)),"")</f>
        <v/>
      </c>
      <c r="AD261" s="52"/>
      <c r="AE261" s="52"/>
      <c r="AF261" s="52"/>
      <c r="AG261" s="53" t="str">
        <f t="shared" si="11"/>
        <v/>
      </c>
      <c r="AH261" s="50" t="str">
        <f>IF(AG261&lt;=$O$16,IF($O$18=Лист2!$A$2,'Кредит аннуитет'!M266,'Кредит равномерное'!M266),"")</f>
        <v/>
      </c>
      <c r="AI261" s="52"/>
    </row>
    <row r="262" spans="24:35" ht="15.75" x14ac:dyDescent="0.25">
      <c r="X262" s="53" t="str">
        <f t="shared" si="9"/>
        <v/>
      </c>
      <c r="Y262" s="52"/>
      <c r="Z262" s="52"/>
      <c r="AA262" s="52"/>
      <c r="AB262" s="53" t="str">
        <f t="shared" si="10"/>
        <v/>
      </c>
      <c r="AC262" s="50" t="str">
        <f>IF(AB262&lt;=$F$16,IF($F$18=Лист2!$A$2,'Аннуитетное (с ндс)'!N268,IF('Калькулятор лизинга'!$F$18=Лист2!$A$3,Равномерное!N267,'Калькулятор лизинга'!Y262)),"")</f>
        <v/>
      </c>
      <c r="AD262" s="52"/>
      <c r="AE262" s="52"/>
      <c r="AF262" s="52"/>
      <c r="AG262" s="53" t="str">
        <f t="shared" si="11"/>
        <v/>
      </c>
      <c r="AH262" s="50" t="str">
        <f>IF(AG262&lt;=$O$16,IF($O$18=Лист2!$A$2,'Кредит аннуитет'!M267,'Кредит равномерное'!M267),"")</f>
        <v/>
      </c>
      <c r="AI262" s="52"/>
    </row>
    <row r="263" spans="24:35" ht="15.75" x14ac:dyDescent="0.25">
      <c r="X263" s="53" t="str">
        <f t="shared" ref="X263:X264" si="12">IF(X262&lt;$F$16,X262+1,"")</f>
        <v/>
      </c>
      <c r="Y263" s="52"/>
      <c r="Z263" s="52"/>
      <c r="AA263" s="52"/>
      <c r="AB263" s="53" t="str">
        <f t="shared" ref="AB263:AB265" si="13">IF(AB262&lt;$F$16,AB262+1,"")</f>
        <v/>
      </c>
      <c r="AC263" s="50" t="str">
        <f>IF(AB263&lt;=$F$16,IF($F$18=Лист2!$A$2,'Аннуитетное (с ндс)'!N269,IF('Калькулятор лизинга'!$F$18=Лист2!$A$3,Равномерное!N268,'Калькулятор лизинга'!Y263)),"")</f>
        <v/>
      </c>
      <c r="AD263" s="52"/>
      <c r="AE263" s="52"/>
      <c r="AF263" s="52"/>
      <c r="AG263" s="53" t="str">
        <f t="shared" ref="AG263:AG265" si="14">IF(AG262&lt;$O$16,AG262+1,"")</f>
        <v/>
      </c>
      <c r="AH263" s="50" t="str">
        <f>IF(AG263&lt;=$O$16,IF($O$18=Лист2!$A$2,'Кредит аннуитет'!M268,'Кредит равномерное'!M268),"")</f>
        <v/>
      </c>
      <c r="AI263" s="52"/>
    </row>
    <row r="264" spans="24:35" ht="15.75" x14ac:dyDescent="0.25">
      <c r="X264" s="53" t="str">
        <f t="shared" si="12"/>
        <v/>
      </c>
      <c r="Y264" s="52"/>
      <c r="Z264" s="52"/>
      <c r="AA264" s="52"/>
      <c r="AB264" s="53" t="str">
        <f t="shared" si="13"/>
        <v/>
      </c>
      <c r="AC264" s="50" t="str">
        <f>IF(AB264&lt;=$F$16,IF($F$18=Лист2!$A$2,'Аннуитетное (с ндс)'!N270,IF('Калькулятор лизинга'!$F$18=Лист2!$A$3,Равномерное!N269,'Калькулятор лизинга'!Y264)),"")</f>
        <v/>
      </c>
      <c r="AD264" s="52"/>
      <c r="AE264" s="52"/>
      <c r="AF264" s="52"/>
      <c r="AG264" s="53" t="str">
        <f t="shared" si="14"/>
        <v/>
      </c>
      <c r="AH264" s="50" t="str">
        <f>IF(AG264&lt;=$O$16,IF($O$18=Лист2!$A$2,'Кредит аннуитет'!M269,'Кредит равномерное'!M269),"")</f>
        <v/>
      </c>
      <c r="AI264" s="52"/>
    </row>
    <row r="265" spans="24:35" ht="15.75" x14ac:dyDescent="0.25">
      <c r="X265" s="52"/>
      <c r="Y265" s="52"/>
      <c r="Z265" s="52"/>
      <c r="AA265" s="52"/>
      <c r="AB265" s="53" t="str">
        <f t="shared" si="13"/>
        <v/>
      </c>
      <c r="AC265" s="50" t="str">
        <f>IF(AB265&lt;=$F$16,IF($F$18=Лист2!$A$2,'Аннуитетное (с ндс)'!N271,IF('Калькулятор лизинга'!$F$18=Лист2!$A$3,Равномерное!N270,'Калькулятор лизинга'!Y265)),"")</f>
        <v/>
      </c>
      <c r="AD265" s="52"/>
      <c r="AE265" s="52"/>
      <c r="AF265" s="52"/>
      <c r="AG265" s="53" t="str">
        <f t="shared" si="14"/>
        <v/>
      </c>
      <c r="AH265" s="50" t="str">
        <f>IF(AG265&lt;=$O$16,IF($O$18=Лист2!$A$2,'Кредит аннуитет'!M270,'Кредит равномерное'!M270),"")</f>
        <v/>
      </c>
      <c r="AI265" s="52"/>
    </row>
    <row r="266" spans="24:35" ht="15.75" x14ac:dyDescent="0.25"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I266" s="52"/>
    </row>
  </sheetData>
  <mergeCells count="105">
    <mergeCell ref="F27:H29"/>
    <mergeCell ref="K27:L29"/>
    <mergeCell ref="I39:K39"/>
    <mergeCell ref="O69:U72"/>
    <mergeCell ref="O65:U68"/>
    <mergeCell ref="O61:U64"/>
    <mergeCell ref="B27:C29"/>
    <mergeCell ref="L39:N39"/>
    <mergeCell ref="O18:Q20"/>
    <mergeCell ref="D27:E29"/>
    <mergeCell ref="L58:N59"/>
    <mergeCell ref="F58:H59"/>
    <mergeCell ref="L55:N56"/>
    <mergeCell ref="F55:H56"/>
    <mergeCell ref="L52:N53"/>
    <mergeCell ref="F52:H53"/>
    <mergeCell ref="I55:K56"/>
    <mergeCell ref="I58:K59"/>
    <mergeCell ref="I52:K53"/>
    <mergeCell ref="M24:N26"/>
    <mergeCell ref="O24:Q26"/>
    <mergeCell ref="O21:Q23"/>
    <mergeCell ref="F48:H50"/>
    <mergeCell ref="F36:H36"/>
    <mergeCell ref="B21:C23"/>
    <mergeCell ref="K21:L23"/>
    <mergeCell ref="K24:L26"/>
    <mergeCell ref="D16:E17"/>
    <mergeCell ref="D18:E20"/>
    <mergeCell ref="F18:H20"/>
    <mergeCell ref="B18:C20"/>
    <mergeCell ref="F16:H17"/>
    <mergeCell ref="D24:E26"/>
    <mergeCell ref="F24:H26"/>
    <mergeCell ref="B24:C26"/>
    <mergeCell ref="O30:Q31"/>
    <mergeCell ref="B69:E72"/>
    <mergeCell ref="B41:E42"/>
    <mergeCell ref="B61:E63"/>
    <mergeCell ref="B55:E56"/>
    <mergeCell ref="B58:E59"/>
    <mergeCell ref="B65:E67"/>
    <mergeCell ref="B48:E50"/>
    <mergeCell ref="B52:E53"/>
    <mergeCell ref="B44:E46"/>
    <mergeCell ref="F65:H67"/>
    <mergeCell ref="F61:H63"/>
    <mergeCell ref="I65:K67"/>
    <mergeCell ref="I69:K72"/>
    <mergeCell ref="F44:H46"/>
    <mergeCell ref="L41:N42"/>
    <mergeCell ref="F41:H42"/>
    <mergeCell ref="F37:H38"/>
    <mergeCell ref="L33:N35"/>
    <mergeCell ref="L69:N72"/>
    <mergeCell ref="F69:H72"/>
    <mergeCell ref="L65:N67"/>
    <mergeCell ref="X2:Z3"/>
    <mergeCell ref="AB2:AD3"/>
    <mergeCell ref="AG2:AI3"/>
    <mergeCell ref="I61:K63"/>
    <mergeCell ref="L61:N63"/>
    <mergeCell ref="L48:N50"/>
    <mergeCell ref="I36:K36"/>
    <mergeCell ref="L36:N36"/>
    <mergeCell ref="I37:K38"/>
    <mergeCell ref="L37:N38"/>
    <mergeCell ref="O16:Q17"/>
    <mergeCell ref="K18:L20"/>
    <mergeCell ref="I48:K50"/>
    <mergeCell ref="I33:K35"/>
    <mergeCell ref="I41:K42"/>
    <mergeCell ref="M21:N23"/>
    <mergeCell ref="O27:Q29"/>
    <mergeCell ref="M27:N29"/>
    <mergeCell ref="I44:K46"/>
    <mergeCell ref="L44:N46"/>
    <mergeCell ref="H5:J6"/>
    <mergeCell ref="H7:J8"/>
    <mergeCell ref="K5:M6"/>
    <mergeCell ref="K7:M8"/>
    <mergeCell ref="K74:N81"/>
    <mergeCell ref="X4:Z4"/>
    <mergeCell ref="B16:C17"/>
    <mergeCell ref="B36:E38"/>
    <mergeCell ref="F39:H39"/>
    <mergeCell ref="D30:E31"/>
    <mergeCell ref="M30:N31"/>
    <mergeCell ref="K30:L31"/>
    <mergeCell ref="B30:C31"/>
    <mergeCell ref="F30:H31"/>
    <mergeCell ref="F34:H35"/>
    <mergeCell ref="B39:E39"/>
    <mergeCell ref="D21:E23"/>
    <mergeCell ref="F21:H23"/>
    <mergeCell ref="E5:G6"/>
    <mergeCell ref="H11:J12"/>
    <mergeCell ref="K11:M12"/>
    <mergeCell ref="M16:N17"/>
    <mergeCell ref="M14:Q14"/>
    <mergeCell ref="D14:H14"/>
    <mergeCell ref="K9:M10"/>
    <mergeCell ref="H9:J10"/>
    <mergeCell ref="E9:G10"/>
    <mergeCell ref="M18:N20"/>
  </mergeCells>
  <dataValidations count="1">
    <dataValidation type="whole" operator="equal" allowBlank="1" showInputMessage="1" showErrorMessage="1" sqref="K11">
      <formula1>20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landscape" r:id="rId1"/>
  <drawing r:id="rId2"/>
  <legacyDrawing r:id="rId3"/>
  <controls>
    <mc:AlternateContent xmlns:mc="http://schemas.openxmlformats.org/markup-compatibility/2006">
      <mc:Choice Requires="x14">
        <control shapeId="1029" r:id="rId4" name="ComboBox1">
          <controlPr defaultSize="0" autoLine="0" r:id="rId5">
            <anchor moveWithCells="1">
              <from>
                <xdr:col>5</xdr:col>
                <xdr:colOff>38100</xdr:colOff>
                <xdr:row>17</xdr:row>
                <xdr:rowOff>57150</xdr:rowOff>
              </from>
              <to>
                <xdr:col>8</xdr:col>
                <xdr:colOff>180975</xdr:colOff>
                <xdr:row>19</xdr:row>
                <xdr:rowOff>161925</xdr:rowOff>
              </to>
            </anchor>
          </controlPr>
        </control>
      </mc:Choice>
      <mc:Fallback>
        <control shapeId="1029" r:id="rId4" name="ComboBox1"/>
      </mc:Fallback>
    </mc:AlternateContent>
    <mc:AlternateContent xmlns:mc="http://schemas.openxmlformats.org/markup-compatibility/2006">
      <mc:Choice Requires="x14">
        <control shapeId="1032" r:id="rId6" name="ComboBox2">
          <controlPr defaultSize="0" autoLine="0" r:id="rId7">
            <anchor moveWithCells="1">
              <from>
                <xdr:col>14</xdr:col>
                <xdr:colOff>38100</xdr:colOff>
                <xdr:row>17</xdr:row>
                <xdr:rowOff>57150</xdr:rowOff>
              </from>
              <to>
                <xdr:col>17</xdr:col>
                <xdr:colOff>180975</xdr:colOff>
                <xdr:row>19</xdr:row>
                <xdr:rowOff>161925</xdr:rowOff>
              </to>
            </anchor>
          </controlPr>
        </control>
      </mc:Choice>
      <mc:Fallback>
        <control shapeId="1032" r:id="rId6" name="ComboBox2"/>
      </mc:Fallback>
    </mc:AlternateContent>
    <mc:AlternateContent xmlns:mc="http://schemas.openxmlformats.org/markup-compatibility/2006">
      <mc:Choice Requires="x14">
        <control shapeId="1033" r:id="rId8" name="CommandButton1">
          <controlPr defaultSize="0" autoLine="0" r:id="rId9">
            <anchor moveWithCells="1">
              <from>
                <xdr:col>14</xdr:col>
                <xdr:colOff>295275</xdr:colOff>
                <xdr:row>34</xdr:row>
                <xdr:rowOff>180975</xdr:rowOff>
              </from>
              <to>
                <xdr:col>17</xdr:col>
                <xdr:colOff>533400</xdr:colOff>
                <xdr:row>37</xdr:row>
                <xdr:rowOff>171450</xdr:rowOff>
              </to>
            </anchor>
          </controlPr>
        </control>
      </mc:Choice>
      <mc:Fallback>
        <control shapeId="1033" r:id="rId8" name="CommandButton1"/>
      </mc:Fallback>
    </mc:AlternateContent>
    <mc:AlternateContent xmlns:mc="http://schemas.openxmlformats.org/markup-compatibility/2006">
      <mc:Choice Requires="x14">
        <control shapeId="1035" r:id="rId10" name="ComboBox3">
          <controlPr defaultSize="0" autoLine="0" r:id="rId11">
            <anchor moveWithCells="1">
              <from>
                <xdr:col>10</xdr:col>
                <xdr:colOff>38100</xdr:colOff>
                <xdr:row>6</xdr:row>
                <xdr:rowOff>28575</xdr:rowOff>
              </from>
              <to>
                <xdr:col>13</xdr:col>
                <xdr:colOff>95250</xdr:colOff>
                <xdr:row>7</xdr:row>
                <xdr:rowOff>161925</xdr:rowOff>
              </to>
            </anchor>
          </controlPr>
        </control>
      </mc:Choice>
      <mc:Fallback>
        <control shapeId="1035" r:id="rId10" name="ComboBox3"/>
      </mc:Fallback>
    </mc:AlternateContent>
    <mc:AlternateContent xmlns:mc="http://schemas.openxmlformats.org/markup-compatibility/2006">
      <mc:Choice Requires="x14">
        <control shapeId="1037" r:id="rId12" name="ComboBox4">
          <controlPr defaultSize="0" autoLine="0" r:id="rId13">
            <anchor moveWithCells="1">
              <from>
                <xdr:col>3</xdr:col>
                <xdr:colOff>19050</xdr:colOff>
                <xdr:row>20</xdr:row>
                <xdr:rowOff>47625</xdr:rowOff>
              </from>
              <to>
                <xdr:col>4</xdr:col>
                <xdr:colOff>876300</xdr:colOff>
                <xdr:row>22</xdr:row>
                <xdr:rowOff>161925</xdr:rowOff>
              </to>
            </anchor>
          </controlPr>
        </control>
      </mc:Choice>
      <mc:Fallback>
        <control shapeId="1037" r:id="rId12" name="ComboBox4"/>
      </mc:Fallback>
    </mc:AlternateContent>
    <mc:AlternateContent xmlns:mc="http://schemas.openxmlformats.org/markup-compatibility/2006">
      <mc:Choice Requires="x14">
        <control shapeId="1038" r:id="rId14" name="ComboBox5">
          <controlPr defaultSize="0" autoLine="0" r:id="rId15">
            <anchor moveWithCells="1">
              <from>
                <xdr:col>3</xdr:col>
                <xdr:colOff>9525</xdr:colOff>
                <xdr:row>23</xdr:row>
                <xdr:rowOff>57150</xdr:rowOff>
              </from>
              <to>
                <xdr:col>4</xdr:col>
                <xdr:colOff>866775</xdr:colOff>
                <xdr:row>25</xdr:row>
                <xdr:rowOff>180975</xdr:rowOff>
              </to>
            </anchor>
          </controlPr>
        </control>
      </mc:Choice>
      <mc:Fallback>
        <control shapeId="1038" r:id="rId14" name="ComboBox5"/>
      </mc:Fallback>
    </mc:AlternateContent>
    <mc:AlternateContent xmlns:mc="http://schemas.openxmlformats.org/markup-compatibility/2006">
      <mc:Choice Requires="x14">
        <control shapeId="1039" r:id="rId16" name="ComboBox6">
          <controlPr defaultSize="0" autoLine="0" r:id="rId17">
            <anchor moveWithCells="1">
              <from>
                <xdr:col>12</xdr:col>
                <xdr:colOff>0</xdr:colOff>
                <xdr:row>20</xdr:row>
                <xdr:rowOff>38100</xdr:rowOff>
              </from>
              <to>
                <xdr:col>14</xdr:col>
                <xdr:colOff>9525</xdr:colOff>
                <xdr:row>22</xdr:row>
                <xdr:rowOff>171450</xdr:rowOff>
              </to>
            </anchor>
          </controlPr>
        </control>
      </mc:Choice>
      <mc:Fallback>
        <control shapeId="1039" r:id="rId16" name="ComboBox6"/>
      </mc:Fallback>
    </mc:AlternateContent>
    <mc:AlternateContent xmlns:mc="http://schemas.openxmlformats.org/markup-compatibility/2006">
      <mc:Choice Requires="x14">
        <control shapeId="1040" r:id="rId18" name="ComboBox7">
          <controlPr defaultSize="0" autoLine="0" r:id="rId19">
            <anchor moveWithCells="1">
              <from>
                <xdr:col>12</xdr:col>
                <xdr:colOff>0</xdr:colOff>
                <xdr:row>23</xdr:row>
                <xdr:rowOff>38100</xdr:rowOff>
              </from>
              <to>
                <xdr:col>14</xdr:col>
                <xdr:colOff>9525</xdr:colOff>
                <xdr:row>25</xdr:row>
                <xdr:rowOff>180975</xdr:rowOff>
              </to>
            </anchor>
          </controlPr>
        </control>
      </mc:Choice>
      <mc:Fallback>
        <control shapeId="1040" r:id="rId18" name="ComboBox7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operator="equal" showInputMessage="1" showErrorMessage="1">
          <x14:formula1>
            <xm:f>VLOOKUP(K7,Лист2!D3:E11,2,)</xm:f>
          </x14:formula1>
          <xm:sqref>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D190"/>
  <sheetViews>
    <sheetView topLeftCell="Q64" zoomScale="80" zoomScaleNormal="80" workbookViewId="0">
      <selection activeCell="O18" sqref="O18:Q20"/>
    </sheetView>
  </sheetViews>
  <sheetFormatPr defaultRowHeight="15" x14ac:dyDescent="0.25"/>
  <cols>
    <col min="1" max="1" width="9.140625" customWidth="1"/>
    <col min="3" max="3" width="9.5703125" bestFit="1" customWidth="1"/>
    <col min="4" max="4" width="15.7109375" customWidth="1"/>
    <col min="6" max="6" width="11.28515625" bestFit="1" customWidth="1"/>
    <col min="8" max="8" width="12.7109375" customWidth="1"/>
    <col min="9" max="9" width="14.5703125" bestFit="1" customWidth="1"/>
    <col min="10" max="10" width="17" customWidth="1"/>
    <col min="11" max="12" width="17.7109375" customWidth="1"/>
    <col min="13" max="14" width="15.28515625" style="24" customWidth="1"/>
    <col min="15" max="15" width="23.140625" customWidth="1"/>
    <col min="16" max="16" width="13" customWidth="1"/>
    <col min="17" max="18" width="18.7109375" style="24" customWidth="1"/>
    <col min="19" max="20" width="18.7109375" customWidth="1"/>
    <col min="21" max="22" width="20.42578125" style="24" customWidth="1"/>
    <col min="23" max="23" width="18.28515625" customWidth="1"/>
    <col min="24" max="24" width="13.140625" bestFit="1" customWidth="1"/>
    <col min="25" max="25" width="14.5703125" bestFit="1" customWidth="1"/>
    <col min="26" max="26" width="10.5703125" bestFit="1" customWidth="1"/>
    <col min="28" max="28" width="11.7109375" customWidth="1"/>
  </cols>
  <sheetData>
    <row r="1" spans="1:30" x14ac:dyDescent="0.25">
      <c r="L1" t="s">
        <v>35</v>
      </c>
      <c r="P1" t="s">
        <v>36</v>
      </c>
      <c r="U1" s="24" t="s">
        <v>37</v>
      </c>
    </row>
    <row r="2" spans="1:30" x14ac:dyDescent="0.25">
      <c r="M2" s="34"/>
      <c r="N2" s="34"/>
    </row>
    <row r="3" spans="1:30" x14ac:dyDescent="0.25">
      <c r="G3" t="s">
        <v>46</v>
      </c>
      <c r="M3" s="35">
        <f>XIRR(M10:M190,H10:H190)</f>
        <v>0.54395845532417297</v>
      </c>
      <c r="N3" s="35">
        <f>XIRR(N10:N190,H10:H190)</f>
        <v>0.54544774889946002</v>
      </c>
      <c r="Q3" s="35">
        <f>XIRR(Q10:Q190,H10:H190)</f>
        <v>0.36369474530220036</v>
      </c>
      <c r="R3" s="35">
        <f>XIRR(R10:R190,H10:H190)</f>
        <v>0.36500391364097595</v>
      </c>
      <c r="S3" s="25"/>
      <c r="T3" s="25"/>
      <c r="U3" s="35">
        <f>XIRR(U10:U190,H10:H190)</f>
        <v>0.20510291457176211</v>
      </c>
      <c r="V3" s="35">
        <f>XIRR(V10:V190,H10:H190)</f>
        <v>0.20605414509773257</v>
      </c>
    </row>
    <row r="4" spans="1:30" x14ac:dyDescent="0.25">
      <c r="I4" s="16">
        <f>SUM(I8:I190)</f>
        <v>3491666.6666666712</v>
      </c>
      <c r="J4" s="16">
        <f>SUM(J8:J190)</f>
        <v>698333.33333333395</v>
      </c>
      <c r="K4" s="16">
        <f>SUM(K8:K190)</f>
        <v>4561133.3333333274</v>
      </c>
      <c r="L4" s="16">
        <f>SUM(L8:L190)</f>
        <v>912226.66666666593</v>
      </c>
      <c r="M4" s="26">
        <f>SUM(M8:M190)-M10-M9</f>
        <v>9664360</v>
      </c>
      <c r="N4" s="26">
        <f>SUM(N8:N190)-N10-N9</f>
        <v>9676730.4402410444</v>
      </c>
      <c r="O4" s="16"/>
      <c r="P4" s="16">
        <f>SUM(P8:P190)-P10-P9</f>
        <v>1610726.6666666679</v>
      </c>
      <c r="Q4" s="26">
        <f>SUM(Q8:Q190)-Q10-Q9</f>
        <v>7844133.333333334</v>
      </c>
      <c r="R4" s="26">
        <f>SUM(R8:R190)-R10-R9</f>
        <v>7856503.7735743793</v>
      </c>
      <c r="S4" s="16">
        <f>SUM(S8:S190)</f>
        <v>1610726.6666666679</v>
      </c>
      <c r="T4" s="16">
        <f>SUM(T8:T190)</f>
        <v>1613200.6111867805</v>
      </c>
      <c r="U4" s="26">
        <f>SUM(U8:U190)-U10-U9</f>
        <v>5395406.666666666</v>
      </c>
      <c r="V4" s="26">
        <f>SUM(V8:V190)-V10-V9</f>
        <v>5405303.1623875964</v>
      </c>
      <c r="W4" s="16">
        <f>SUM(W8:W190)</f>
        <v>12370.440241046201</v>
      </c>
    </row>
    <row r="5" spans="1:30" x14ac:dyDescent="0.25">
      <c r="I5" s="1"/>
      <c r="J5" s="1"/>
      <c r="K5" s="1" t="s">
        <v>24</v>
      </c>
      <c r="L5" s="1"/>
      <c r="M5" s="27"/>
      <c r="N5" s="27"/>
      <c r="P5" s="1"/>
      <c r="Q5" s="27"/>
      <c r="R5" s="27"/>
      <c r="S5" s="1"/>
      <c r="T5" s="1"/>
    </row>
    <row r="6" spans="1:30" ht="28.5" customHeight="1" x14ac:dyDescent="0.25">
      <c r="G6" s="172" t="s">
        <v>13</v>
      </c>
      <c r="H6" s="20"/>
      <c r="I6" s="167" t="s">
        <v>15</v>
      </c>
      <c r="J6" s="167"/>
      <c r="K6" s="167" t="s">
        <v>23</v>
      </c>
      <c r="L6" s="167" t="s">
        <v>26</v>
      </c>
      <c r="M6" s="168" t="s">
        <v>16</v>
      </c>
      <c r="N6" s="168" t="s">
        <v>133</v>
      </c>
      <c r="O6" s="167" t="s">
        <v>17</v>
      </c>
      <c r="P6" s="167" t="s">
        <v>4</v>
      </c>
      <c r="Q6" s="168" t="s">
        <v>50</v>
      </c>
      <c r="R6" s="168" t="s">
        <v>139</v>
      </c>
      <c r="S6" s="167" t="s">
        <v>51</v>
      </c>
      <c r="T6" s="167" t="s">
        <v>138</v>
      </c>
      <c r="U6" s="168" t="s">
        <v>52</v>
      </c>
      <c r="V6" s="168" t="s">
        <v>140</v>
      </c>
      <c r="W6" s="170" t="s">
        <v>130</v>
      </c>
      <c r="Y6" s="3"/>
    </row>
    <row r="7" spans="1:30" x14ac:dyDescent="0.25">
      <c r="D7" s="3"/>
      <c r="G7" s="172"/>
      <c r="H7" s="20"/>
      <c r="I7" s="6" t="s">
        <v>14</v>
      </c>
      <c r="J7" s="6" t="s">
        <v>3</v>
      </c>
      <c r="K7" s="167"/>
      <c r="L7" s="167"/>
      <c r="M7" s="168"/>
      <c r="N7" s="168"/>
      <c r="O7" s="167"/>
      <c r="P7" s="167"/>
      <c r="Q7" s="168"/>
      <c r="R7" s="168"/>
      <c r="S7" s="167"/>
      <c r="T7" s="167"/>
      <c r="U7" s="168"/>
      <c r="V7" s="168"/>
      <c r="W7" s="170"/>
      <c r="Y7" s="3"/>
    </row>
    <row r="8" spans="1:30" ht="15.75" customHeight="1" x14ac:dyDescent="0.25">
      <c r="D8" s="3"/>
      <c r="G8" t="s">
        <v>9</v>
      </c>
      <c r="H8" s="21">
        <v>43831</v>
      </c>
      <c r="I8" s="16">
        <f>D19-J8</f>
        <v>1047500</v>
      </c>
      <c r="J8" s="16">
        <f>D19*$D$21/(1+$D$21)</f>
        <v>209500</v>
      </c>
      <c r="K8" s="16"/>
      <c r="L8" s="16"/>
      <c r="M8" s="26">
        <f>SUM(I8:J8)</f>
        <v>1257000</v>
      </c>
      <c r="N8" s="26">
        <f>M8</f>
        <v>1257000</v>
      </c>
      <c r="O8" s="16">
        <f>D11-J8-I8</f>
        <v>2933000</v>
      </c>
      <c r="P8" s="16">
        <f>IF($D$32="нет",0,J8)</f>
        <v>209500</v>
      </c>
      <c r="Q8" s="26">
        <f>M8-P8</f>
        <v>1047500</v>
      </c>
      <c r="R8" s="26">
        <f>Q8</f>
        <v>1047500</v>
      </c>
      <c r="S8" s="16">
        <f>IF($D$33="да",Q8*$D$22,0)</f>
        <v>209500</v>
      </c>
      <c r="T8" s="16">
        <f t="shared" ref="T8" si="0">IF($D$33="да",R8*$D$22,0)</f>
        <v>209500</v>
      </c>
      <c r="U8" s="28">
        <f>IF($D$33="да",Q8*$D$22,0)</f>
        <v>209500</v>
      </c>
      <c r="V8" s="28">
        <f>U8</f>
        <v>209500</v>
      </c>
      <c r="X8" s="17"/>
    </row>
    <row r="9" spans="1:30" ht="15.75" customHeight="1" x14ac:dyDescent="0.25">
      <c r="D9" s="3"/>
      <c r="F9" s="22" t="s">
        <v>47</v>
      </c>
      <c r="G9" s="22" t="s">
        <v>25</v>
      </c>
      <c r="H9" s="22"/>
      <c r="I9" s="23"/>
      <c r="J9" s="23"/>
      <c r="K9" s="23"/>
      <c r="L9" s="23"/>
      <c r="M9" s="26">
        <f>D20</f>
        <v>1000</v>
      </c>
      <c r="N9" s="26"/>
      <c r="O9" s="23"/>
      <c r="P9" s="23"/>
      <c r="Q9" s="26"/>
      <c r="R9" s="26"/>
      <c r="S9" s="16"/>
      <c r="T9" s="16"/>
      <c r="U9" s="28"/>
      <c r="V9" s="28"/>
    </row>
    <row r="10" spans="1:30" ht="15.75" customHeight="1" x14ac:dyDescent="0.25">
      <c r="D10" s="3"/>
      <c r="G10">
        <v>0</v>
      </c>
      <c r="H10" s="21">
        <v>43831</v>
      </c>
      <c r="I10" s="16"/>
      <c r="J10" s="16"/>
      <c r="K10" s="16"/>
      <c r="L10" s="16"/>
      <c r="M10" s="26">
        <f>-(D11-M8)</f>
        <v>-2933000</v>
      </c>
      <c r="N10" s="26">
        <f>M10</f>
        <v>-2933000</v>
      </c>
      <c r="O10" s="16"/>
      <c r="P10" s="16"/>
      <c r="Q10" s="26">
        <f>M10</f>
        <v>-2933000</v>
      </c>
      <c r="R10" s="26">
        <f>Q10</f>
        <v>-2933000</v>
      </c>
      <c r="S10" s="16"/>
      <c r="T10" s="16"/>
      <c r="U10" s="26">
        <f>Q10</f>
        <v>-2933000</v>
      </c>
      <c r="V10" s="26">
        <f>U10</f>
        <v>-2933000</v>
      </c>
      <c r="W10" s="3"/>
    </row>
    <row r="11" spans="1:30" x14ac:dyDescent="0.25">
      <c r="A11" s="169" t="s">
        <v>0</v>
      </c>
      <c r="B11" s="169"/>
      <c r="C11" s="169"/>
      <c r="D11" s="4">
        <f>'Калькулятор лизинга'!K5</f>
        <v>4190000</v>
      </c>
      <c r="G11">
        <v>1</v>
      </c>
      <c r="H11" s="21">
        <v>43862</v>
      </c>
      <c r="I11" s="16">
        <f t="shared" ref="I11:I42" si="1">IF(G11&lt;$D$14,(M11-L11-K11)*1/(1+$D$21),IF(G11=$D$14,(M11-L11-K11-$D$20)*1/(1+$D$21),0))</f>
        <v>7176.4047735885715</v>
      </c>
      <c r="J11" s="16">
        <f>IF(G11&lt;=$D$14,I11*$D$21,0)</f>
        <v>1435.2809547177144</v>
      </c>
      <c r="K11" s="16">
        <f>IF(G11&lt;=$D$14,O8*$D$17,0)</f>
        <v>90119.42855974476</v>
      </c>
      <c r="L11" s="16">
        <f>IF(G11&lt;=$D$14,K11*$D$21,0)</f>
        <v>18023.885711948951</v>
      </c>
      <c r="M11" s="26">
        <f t="shared" ref="M11:M42" si="2">IF(G11&lt;=$D$14,-$D$25,0)+IF(G11=$D$14,$D$20,0)</f>
        <v>116755</v>
      </c>
      <c r="N11" s="26">
        <f>M11+W11</f>
        <v>116999.41666666667</v>
      </c>
      <c r="O11" s="16">
        <f>IF(G11&lt;$D$14,O8-I11-J11,0)</f>
        <v>2924388.3142716936</v>
      </c>
      <c r="P11" s="16">
        <f t="shared" ref="P11:P42" si="3">IF($D$32="нет",0,J11+L11+IF(G11=$D$14,$D$20*$D$21/(1+$D$21),0))</f>
        <v>19459.166666666664</v>
      </c>
      <c r="Q11" s="26">
        <f>IF(G11&lt;=$D$14,M11-P11,0)-P8</f>
        <v>-112204.16666666666</v>
      </c>
      <c r="R11" s="26">
        <f>Q11+W11</f>
        <v>-111959.74999999999</v>
      </c>
      <c r="S11" s="16">
        <f>IF($D$33="да",Q12*$D$22,0)</f>
        <v>19459.166666666668</v>
      </c>
      <c r="T11" s="16">
        <f>IF($D$33="да",R12*$D$22,0)</f>
        <v>19507.906471904527</v>
      </c>
      <c r="U11" s="28">
        <f>Q11-S11-T8</f>
        <v>-341163.33333333331</v>
      </c>
      <c r="V11" s="28">
        <f>R11-T11-T8</f>
        <v>-340967.65647190448</v>
      </c>
      <c r="W11" s="16">
        <f>IF(G11&lt;=$D$14,O8*$D$23,0)</f>
        <v>244.41666666666666</v>
      </c>
      <c r="X11" s="1"/>
      <c r="Y11" s="1"/>
      <c r="Z11" s="1"/>
      <c r="AB11" s="1"/>
      <c r="AD11" s="1"/>
    </row>
    <row r="12" spans="1:30" x14ac:dyDescent="0.25">
      <c r="A12" s="165" t="s">
        <v>3</v>
      </c>
      <c r="B12" s="165"/>
      <c r="C12" s="165"/>
      <c r="D12" s="2">
        <f>D11*D21/(1+D21)</f>
        <v>698333.33333333337</v>
      </c>
      <c r="G12">
        <v>2</v>
      </c>
      <c r="H12" s="21">
        <v>43891</v>
      </c>
      <c r="I12" s="16">
        <f t="shared" si="1"/>
        <v>7441.0076364495035</v>
      </c>
      <c r="J12" s="16">
        <f t="shared" ref="J12:J75" si="4">IF(G12&lt;=$D$14,I12*$D$21,0)</f>
        <v>1488.2015272899007</v>
      </c>
      <c r="K12" s="16">
        <f t="shared" ref="K12:K43" si="5">IF(G12&lt;=$D$14,O11*$D$17,0)</f>
        <v>89854.825696883825</v>
      </c>
      <c r="L12" s="16">
        <f t="shared" ref="L12:L75" si="6">IF(G12&lt;=$D$14,K12*$D$21,0)</f>
        <v>17970.965139376767</v>
      </c>
      <c r="M12" s="26">
        <f t="shared" si="2"/>
        <v>116755</v>
      </c>
      <c r="N12" s="26">
        <f t="shared" ref="N12:N75" si="7">M12+W12</f>
        <v>116998.69902618931</v>
      </c>
      <c r="O12" s="16">
        <f t="shared" ref="O12:O43" si="8">IF(G12&lt;$D$14,O11-I12-J12,0)</f>
        <v>2915459.1051079542</v>
      </c>
      <c r="P12" s="16">
        <f t="shared" si="3"/>
        <v>19459.166666666668</v>
      </c>
      <c r="Q12" s="26">
        <f t="shared" ref="Q12:Q42" si="9">IF(G12&lt;=$D$14,M12-P12,0)</f>
        <v>97295.833333333328</v>
      </c>
      <c r="R12" s="26">
        <f t="shared" ref="R12:R75" si="10">Q12+W12</f>
        <v>97539.532359522636</v>
      </c>
      <c r="S12" s="16">
        <f t="shared" ref="S12:S75" si="11">IF($D$33="да",Q12*$D$22,0)</f>
        <v>19459.166666666668</v>
      </c>
      <c r="T12" s="16">
        <f t="shared" ref="T12:T75" si="12">IF($D$33="да",R12*$D$22,0)</f>
        <v>19507.906471904527</v>
      </c>
      <c r="U12" s="28">
        <f t="shared" ref="U12:U75" si="13">Q12-S12</f>
        <v>77836.666666666657</v>
      </c>
      <c r="V12" s="28">
        <f t="shared" ref="V12:V75" si="14">R12-T12</f>
        <v>78031.625887618109</v>
      </c>
      <c r="W12" s="16">
        <f>IF(G12&lt;=$D$14,O11*$D$23,0)</f>
        <v>243.6990261893078</v>
      </c>
      <c r="X12" s="1"/>
      <c r="Y12" s="1"/>
      <c r="Z12" s="1"/>
      <c r="AB12" s="1"/>
      <c r="AD12" s="1"/>
    </row>
    <row r="13" spans="1:30" x14ac:dyDescent="0.25">
      <c r="A13" s="165" t="s">
        <v>6</v>
      </c>
      <c r="B13" s="165"/>
      <c r="C13" s="165"/>
      <c r="D13" s="2">
        <f>D11-D12</f>
        <v>3491666.6666666665</v>
      </c>
      <c r="G13">
        <v>3</v>
      </c>
      <c r="H13" s="21">
        <v>43922</v>
      </c>
      <c r="I13" s="16">
        <f t="shared" si="1"/>
        <v>7715.3667320262448</v>
      </c>
      <c r="J13" s="16">
        <f t="shared" si="4"/>
        <v>1543.0733464052491</v>
      </c>
      <c r="K13" s="16">
        <f t="shared" si="5"/>
        <v>89580.466601307082</v>
      </c>
      <c r="L13" s="16">
        <f t="shared" si="6"/>
        <v>17916.093320261418</v>
      </c>
      <c r="M13" s="26">
        <f t="shared" si="2"/>
        <v>116755</v>
      </c>
      <c r="N13" s="26">
        <f t="shared" si="7"/>
        <v>116997.95492542566</v>
      </c>
      <c r="O13" s="16">
        <f t="shared" si="8"/>
        <v>2906200.6650295225</v>
      </c>
      <c r="P13" s="16">
        <f t="shared" si="3"/>
        <v>19459.166666666668</v>
      </c>
      <c r="Q13" s="26">
        <f t="shared" si="9"/>
        <v>97295.833333333328</v>
      </c>
      <c r="R13" s="26">
        <f t="shared" si="10"/>
        <v>97538.788258758985</v>
      </c>
      <c r="S13" s="16">
        <f t="shared" si="11"/>
        <v>19459.166666666668</v>
      </c>
      <c r="T13" s="16">
        <f t="shared" si="12"/>
        <v>19507.757651751799</v>
      </c>
      <c r="U13" s="28">
        <f t="shared" si="13"/>
        <v>77836.666666666657</v>
      </c>
      <c r="V13" s="28">
        <f t="shared" si="14"/>
        <v>78031.030607007182</v>
      </c>
      <c r="W13" s="16">
        <f t="shared" ref="W13:W43" si="15">IF(G13&lt;=$D$14,O12*$D$23,0)</f>
        <v>242.95492542566285</v>
      </c>
      <c r="X13" s="1"/>
      <c r="Y13" s="1"/>
      <c r="Z13" s="1"/>
      <c r="AB13" s="1"/>
      <c r="AD13" s="1"/>
    </row>
    <row r="14" spans="1:30" x14ac:dyDescent="0.25">
      <c r="A14" s="169" t="s">
        <v>7</v>
      </c>
      <c r="B14" s="169"/>
      <c r="C14" s="169"/>
      <c r="D14" s="5">
        <f>'Калькулятор лизинга'!F16</f>
        <v>72</v>
      </c>
      <c r="G14">
        <v>4</v>
      </c>
      <c r="H14" s="21">
        <v>43952</v>
      </c>
      <c r="I14" s="16">
        <f t="shared" si="1"/>
        <v>7999.8417846082157</v>
      </c>
      <c r="J14" s="16">
        <f t="shared" si="4"/>
        <v>1599.9683569216431</v>
      </c>
      <c r="K14" s="16">
        <f t="shared" si="5"/>
        <v>89295.991548725113</v>
      </c>
      <c r="L14" s="16">
        <f t="shared" si="6"/>
        <v>17859.198309745025</v>
      </c>
      <c r="M14" s="26">
        <f t="shared" si="2"/>
        <v>116755</v>
      </c>
      <c r="N14" s="26">
        <f t="shared" si="7"/>
        <v>116997.18338875246</v>
      </c>
      <c r="O14" s="16">
        <f t="shared" si="8"/>
        <v>2896600.8548879926</v>
      </c>
      <c r="P14" s="16">
        <f t="shared" si="3"/>
        <v>19459.166666666668</v>
      </c>
      <c r="Q14" s="26">
        <f t="shared" si="9"/>
        <v>97295.833333333328</v>
      </c>
      <c r="R14" s="26">
        <f t="shared" si="10"/>
        <v>97538.016722085784</v>
      </c>
      <c r="S14" s="16">
        <f t="shared" si="11"/>
        <v>19459.166666666668</v>
      </c>
      <c r="T14" s="16">
        <f t="shared" si="12"/>
        <v>19507.603344417159</v>
      </c>
      <c r="U14" s="28">
        <f t="shared" si="13"/>
        <v>77836.666666666657</v>
      </c>
      <c r="V14" s="28">
        <f t="shared" si="14"/>
        <v>78030.413377668621</v>
      </c>
      <c r="W14" s="16">
        <f t="shared" si="15"/>
        <v>242.18338875246019</v>
      </c>
      <c r="X14" s="1"/>
      <c r="Y14" s="1"/>
      <c r="Z14" s="1"/>
      <c r="AB14" s="1"/>
      <c r="AD14" s="1"/>
    </row>
    <row r="15" spans="1:30" x14ac:dyDescent="0.25">
      <c r="A15" s="171" t="s">
        <v>8</v>
      </c>
      <c r="B15" s="171"/>
      <c r="C15" s="171"/>
      <c r="D15" s="29">
        <f>D14/12</f>
        <v>6</v>
      </c>
      <c r="G15">
        <v>5</v>
      </c>
      <c r="H15" s="21">
        <v>43983</v>
      </c>
      <c r="I15" s="16">
        <f t="shared" si="1"/>
        <v>8294.8057819613568</v>
      </c>
      <c r="J15" s="16">
        <f t="shared" si="4"/>
        <v>1658.9611563922715</v>
      </c>
      <c r="K15" s="16">
        <f t="shared" si="5"/>
        <v>89001.027551371983</v>
      </c>
      <c r="L15" s="16">
        <f t="shared" si="6"/>
        <v>17800.205510274398</v>
      </c>
      <c r="M15" s="26">
        <f t="shared" si="2"/>
        <v>116755</v>
      </c>
      <c r="N15" s="26">
        <f t="shared" si="7"/>
        <v>116996.38340457399</v>
      </c>
      <c r="O15" s="16">
        <f t="shared" si="8"/>
        <v>2886647.0879496387</v>
      </c>
      <c r="P15" s="16">
        <f t="shared" si="3"/>
        <v>19459.166666666668</v>
      </c>
      <c r="Q15" s="26">
        <f t="shared" si="9"/>
        <v>97295.833333333328</v>
      </c>
      <c r="R15" s="26">
        <f t="shared" si="10"/>
        <v>97537.216737907322</v>
      </c>
      <c r="S15" s="16">
        <f t="shared" si="11"/>
        <v>19459.166666666668</v>
      </c>
      <c r="T15" s="16">
        <f t="shared" si="12"/>
        <v>19507.443347581466</v>
      </c>
      <c r="U15" s="28">
        <f t="shared" si="13"/>
        <v>77836.666666666657</v>
      </c>
      <c r="V15" s="28">
        <f t="shared" si="14"/>
        <v>78029.773390325863</v>
      </c>
      <c r="W15" s="16">
        <f t="shared" si="15"/>
        <v>241.38340457399937</v>
      </c>
      <c r="X15" s="1"/>
      <c r="Y15" s="1"/>
      <c r="Z15" s="1"/>
      <c r="AB15" s="1"/>
      <c r="AD15" s="1"/>
    </row>
    <row r="16" spans="1:30" x14ac:dyDescent="0.25">
      <c r="A16" s="169" t="s">
        <v>12</v>
      </c>
      <c r="B16" s="169"/>
      <c r="C16" s="169"/>
      <c r="D16" s="11">
        <f>IF('Калькулятор лизинга'!D21=Лист2!G2,'Калькулятор лизинга'!F21/100,RATE('Аннуитетное (с ндс)'!D14,'Аннуитетное (с ндс)'!D25,'Аннуитетное (с ндс)'!O8)/(1+D21)*12)</f>
        <v>0.36871228868630651</v>
      </c>
      <c r="E16" s="10"/>
      <c r="F16" s="10"/>
      <c r="G16">
        <v>6</v>
      </c>
      <c r="H16" s="21">
        <v>44013</v>
      </c>
      <c r="I16" s="16">
        <f t="shared" si="1"/>
        <v>8600.6454643688994</v>
      </c>
      <c r="J16" s="16">
        <f t="shared" si="4"/>
        <v>1720.1290928737799</v>
      </c>
      <c r="K16" s="16">
        <f t="shared" si="5"/>
        <v>88695.187868964436</v>
      </c>
      <c r="L16" s="16">
        <f t="shared" si="6"/>
        <v>17739.037573792888</v>
      </c>
      <c r="M16" s="26">
        <f t="shared" si="2"/>
        <v>116755</v>
      </c>
      <c r="N16" s="26">
        <f t="shared" si="7"/>
        <v>116995.5539239958</v>
      </c>
      <c r="O16" s="16">
        <f t="shared" si="8"/>
        <v>2876326.3133923956</v>
      </c>
      <c r="P16" s="16">
        <f t="shared" si="3"/>
        <v>19459.166666666668</v>
      </c>
      <c r="Q16" s="26">
        <f t="shared" si="9"/>
        <v>97295.833333333328</v>
      </c>
      <c r="R16" s="26">
        <f t="shared" si="10"/>
        <v>97536.38725732913</v>
      </c>
      <c r="S16" s="16">
        <f t="shared" si="11"/>
        <v>19459.166666666668</v>
      </c>
      <c r="T16" s="16">
        <f t="shared" si="12"/>
        <v>19507.277451465827</v>
      </c>
      <c r="U16" s="28">
        <f t="shared" si="13"/>
        <v>77836.666666666657</v>
      </c>
      <c r="V16" s="28">
        <f t="shared" si="14"/>
        <v>78029.109805863307</v>
      </c>
      <c r="W16" s="16">
        <f t="shared" si="15"/>
        <v>240.55392399580322</v>
      </c>
      <c r="X16" s="1"/>
      <c r="Y16" s="1"/>
      <c r="Z16" s="1"/>
      <c r="AB16" s="1"/>
      <c r="AD16" s="1"/>
    </row>
    <row r="17" spans="1:30" x14ac:dyDescent="0.25">
      <c r="A17" s="165" t="s">
        <v>11</v>
      </c>
      <c r="B17" s="165"/>
      <c r="C17" s="165"/>
      <c r="D17" s="10">
        <f>D16/12</f>
        <v>3.072602405719221E-2</v>
      </c>
      <c r="E17" s="10">
        <f>D17*(1+$D$21)</f>
        <v>3.6871228868630652E-2</v>
      </c>
      <c r="F17" s="10"/>
      <c r="G17">
        <v>7</v>
      </c>
      <c r="H17" s="21">
        <v>44044</v>
      </c>
      <c r="I17" s="16">
        <f t="shared" si="1"/>
        <v>8917.7618317035995</v>
      </c>
      <c r="J17" s="16">
        <f t="shared" si="4"/>
        <v>1783.55236634072</v>
      </c>
      <c r="K17" s="16">
        <f t="shared" si="5"/>
        <v>88378.071501629733</v>
      </c>
      <c r="L17" s="16">
        <f>IF(G17&lt;=$D$14,K17*$D$21,0)</f>
        <v>17675.614300325946</v>
      </c>
      <c r="M17" s="26">
        <f t="shared" si="2"/>
        <v>116755</v>
      </c>
      <c r="N17" s="26">
        <f t="shared" si="7"/>
        <v>116994.69385944937</v>
      </c>
      <c r="O17" s="16">
        <f t="shared" si="8"/>
        <v>2865624.9991943515</v>
      </c>
      <c r="P17" s="16">
        <f t="shared" si="3"/>
        <v>19459.166666666664</v>
      </c>
      <c r="Q17" s="26">
        <f t="shared" si="9"/>
        <v>97295.833333333343</v>
      </c>
      <c r="R17" s="26">
        <f t="shared" si="10"/>
        <v>97535.527192782713</v>
      </c>
      <c r="S17" s="16">
        <f t="shared" si="11"/>
        <v>19459.166666666668</v>
      </c>
      <c r="T17" s="16">
        <f t="shared" si="12"/>
        <v>19507.105438556544</v>
      </c>
      <c r="U17" s="28">
        <f t="shared" si="13"/>
        <v>77836.666666666672</v>
      </c>
      <c r="V17" s="28">
        <f t="shared" si="14"/>
        <v>78028.421754226176</v>
      </c>
      <c r="W17" s="16">
        <f t="shared" si="15"/>
        <v>239.6938594493663</v>
      </c>
      <c r="X17" s="1"/>
      <c r="Y17" s="1"/>
      <c r="Z17" s="1"/>
      <c r="AB17" s="1"/>
      <c r="AD17" s="1"/>
    </row>
    <row r="18" spans="1:30" x14ac:dyDescent="0.25">
      <c r="A18" s="169" t="s">
        <v>1</v>
      </c>
      <c r="B18" s="169"/>
      <c r="C18" s="169"/>
      <c r="D18" s="8">
        <f>IF('Калькулятор лизинга'!D24=Лист2!L2,'Калькулятор лизинга'!F24/100,'Аннуитетное (с ндс)'!D19/'Аннуитетное (с ндс)'!D11)</f>
        <v>0.3</v>
      </c>
      <c r="G18">
        <v>8</v>
      </c>
      <c r="H18" s="21">
        <v>44075</v>
      </c>
      <c r="I18" s="16">
        <f t="shared" si="1"/>
        <v>9246.570669196275</v>
      </c>
      <c r="J18" s="16">
        <f t="shared" si="4"/>
        <v>1849.3141338392552</v>
      </c>
      <c r="K18" s="16">
        <f t="shared" si="5"/>
        <v>88049.262664137059</v>
      </c>
      <c r="L18" s="16">
        <f t="shared" si="6"/>
        <v>17609.852532827412</v>
      </c>
      <c r="M18" s="26">
        <f t="shared" si="2"/>
        <v>116755</v>
      </c>
      <c r="N18" s="26">
        <f t="shared" si="7"/>
        <v>116993.8020832662</v>
      </c>
      <c r="O18" s="16">
        <f t="shared" si="8"/>
        <v>2854529.1143913162</v>
      </c>
      <c r="P18" s="16">
        <f t="shared" si="3"/>
        <v>19459.166666666668</v>
      </c>
      <c r="Q18" s="26">
        <f t="shared" si="9"/>
        <v>97295.833333333328</v>
      </c>
      <c r="R18" s="26">
        <f t="shared" si="10"/>
        <v>97534.635416599529</v>
      </c>
      <c r="S18" s="16">
        <f t="shared" si="11"/>
        <v>19459.166666666668</v>
      </c>
      <c r="T18" s="16">
        <f t="shared" si="12"/>
        <v>19506.927083319908</v>
      </c>
      <c r="U18" s="28">
        <f t="shared" si="13"/>
        <v>77836.666666666657</v>
      </c>
      <c r="V18" s="28">
        <f t="shared" si="14"/>
        <v>78027.708333279617</v>
      </c>
      <c r="W18" s="16">
        <f t="shared" si="15"/>
        <v>238.80208326619595</v>
      </c>
      <c r="X18" s="1"/>
      <c r="Y18" s="1"/>
      <c r="Z18" s="1"/>
      <c r="AB18" s="1"/>
      <c r="AD18" s="1"/>
    </row>
    <row r="19" spans="1:30" x14ac:dyDescent="0.25">
      <c r="A19" s="165" t="s">
        <v>9</v>
      </c>
      <c r="B19" s="165"/>
      <c r="C19" s="165"/>
      <c r="D19" s="3">
        <f>IF('Калькулятор лизинга'!D24=Лист2!L2,D11*D18,'Калькулятор лизинга'!F24)</f>
        <v>1257000</v>
      </c>
      <c r="G19">
        <v>9</v>
      </c>
      <c r="H19" s="21">
        <v>44105</v>
      </c>
      <c r="I19" s="16">
        <f t="shared" si="1"/>
        <v>9587.5030925901719</v>
      </c>
      <c r="J19" s="16">
        <f t="shared" si="4"/>
        <v>1917.5006185180346</v>
      </c>
      <c r="K19" s="16">
        <f t="shared" si="5"/>
        <v>87708.330240743162</v>
      </c>
      <c r="L19" s="16">
        <f t="shared" si="6"/>
        <v>17541.666048148632</v>
      </c>
      <c r="M19" s="26">
        <f t="shared" si="2"/>
        <v>116755</v>
      </c>
      <c r="N19" s="26">
        <f t="shared" si="7"/>
        <v>116992.87742619928</v>
      </c>
      <c r="O19" s="16">
        <f t="shared" si="8"/>
        <v>2843024.1106802081</v>
      </c>
      <c r="P19" s="16">
        <f t="shared" si="3"/>
        <v>19459.166666666668</v>
      </c>
      <c r="Q19" s="26">
        <f t="shared" si="9"/>
        <v>97295.833333333328</v>
      </c>
      <c r="R19" s="26">
        <f t="shared" si="10"/>
        <v>97533.710759532609</v>
      </c>
      <c r="S19" s="16">
        <f t="shared" si="11"/>
        <v>19459.166666666668</v>
      </c>
      <c r="T19" s="16">
        <f t="shared" si="12"/>
        <v>19506.742151906521</v>
      </c>
      <c r="U19" s="28">
        <f t="shared" si="13"/>
        <v>77836.666666666657</v>
      </c>
      <c r="V19" s="28">
        <f t="shared" si="14"/>
        <v>78026.968607626084</v>
      </c>
      <c r="W19" s="16">
        <f t="shared" si="15"/>
        <v>237.87742619927633</v>
      </c>
      <c r="X19" s="1"/>
      <c r="Y19" s="1"/>
      <c r="Z19" s="1"/>
      <c r="AB19" s="1"/>
      <c r="AD19" s="1"/>
    </row>
    <row r="20" spans="1:30" x14ac:dyDescent="0.25">
      <c r="A20" s="169" t="s">
        <v>10</v>
      </c>
      <c r="B20" s="169"/>
      <c r="C20" s="169"/>
      <c r="D20" s="5">
        <f>'Калькулятор лизинга'!F27</f>
        <v>1000</v>
      </c>
      <c r="G20">
        <v>10</v>
      </c>
      <c r="H20" s="21">
        <v>44136</v>
      </c>
      <c r="I20" s="16">
        <f t="shared" si="1"/>
        <v>9941.0061133957679</v>
      </c>
      <c r="J20" s="16">
        <f t="shared" si="4"/>
        <v>1988.2012226791537</v>
      </c>
      <c r="K20" s="16">
        <f t="shared" si="5"/>
        <v>87354.827219937564</v>
      </c>
      <c r="L20" s="16">
        <f t="shared" si="6"/>
        <v>17470.965443987512</v>
      </c>
      <c r="M20" s="26">
        <f t="shared" si="2"/>
        <v>116755</v>
      </c>
      <c r="N20" s="26">
        <f t="shared" si="7"/>
        <v>116991.91867589002</v>
      </c>
      <c r="O20" s="16">
        <f t="shared" si="8"/>
        <v>2831094.9033441334</v>
      </c>
      <c r="P20" s="16">
        <f t="shared" si="3"/>
        <v>19459.166666666664</v>
      </c>
      <c r="Q20" s="26">
        <f t="shared" si="9"/>
        <v>97295.833333333343</v>
      </c>
      <c r="R20" s="26">
        <f t="shared" si="10"/>
        <v>97532.752009223361</v>
      </c>
      <c r="S20" s="16">
        <f t="shared" si="11"/>
        <v>19459.166666666668</v>
      </c>
      <c r="T20" s="16">
        <f t="shared" si="12"/>
        <v>19506.550401844674</v>
      </c>
      <c r="U20" s="28">
        <f t="shared" si="13"/>
        <v>77836.666666666672</v>
      </c>
      <c r="V20" s="28">
        <f t="shared" si="14"/>
        <v>78026.201607378694</v>
      </c>
      <c r="W20" s="16">
        <f t="shared" si="15"/>
        <v>236.91867589001734</v>
      </c>
      <c r="X20" s="1"/>
      <c r="Y20" s="1"/>
      <c r="Z20" s="1"/>
      <c r="AB20" s="1"/>
      <c r="AD20" s="1"/>
    </row>
    <row r="21" spans="1:30" x14ac:dyDescent="0.25">
      <c r="A21" s="165" t="s">
        <v>18</v>
      </c>
      <c r="B21" s="165"/>
      <c r="C21" s="165"/>
      <c r="D21" s="36">
        <f>'Калькулятор лизинга'!K11/100</f>
        <v>0.2</v>
      </c>
      <c r="G21">
        <v>11</v>
      </c>
      <c r="H21" s="21">
        <v>44166</v>
      </c>
      <c r="I21" s="16">
        <f t="shared" si="1"/>
        <v>10307.543224987228</v>
      </c>
      <c r="J21" s="16">
        <f t="shared" si="4"/>
        <v>2061.5086449974456</v>
      </c>
      <c r="K21" s="16">
        <f t="shared" si="5"/>
        <v>86988.290108346104</v>
      </c>
      <c r="L21" s="16">
        <f t="shared" si="6"/>
        <v>17397.65802166922</v>
      </c>
      <c r="M21" s="26">
        <f t="shared" si="2"/>
        <v>116755</v>
      </c>
      <c r="N21" s="26">
        <f t="shared" si="7"/>
        <v>116990.92457527868</v>
      </c>
      <c r="O21" s="16">
        <f t="shared" si="8"/>
        <v>2818725.8514741487</v>
      </c>
      <c r="P21" s="16">
        <f t="shared" si="3"/>
        <v>19459.166666666664</v>
      </c>
      <c r="Q21" s="26">
        <f t="shared" si="9"/>
        <v>97295.833333333343</v>
      </c>
      <c r="R21" s="26">
        <f t="shared" si="10"/>
        <v>97531.757908612024</v>
      </c>
      <c r="S21" s="16">
        <f t="shared" si="11"/>
        <v>19459.166666666668</v>
      </c>
      <c r="T21" s="16">
        <f t="shared" si="12"/>
        <v>19506.351581722407</v>
      </c>
      <c r="U21" s="28">
        <f t="shared" si="13"/>
        <v>77836.666666666672</v>
      </c>
      <c r="V21" s="28">
        <f t="shared" si="14"/>
        <v>78025.406326889613</v>
      </c>
      <c r="W21" s="16">
        <f t="shared" si="15"/>
        <v>235.92457527867776</v>
      </c>
      <c r="X21" s="1"/>
      <c r="Y21" s="1"/>
      <c r="Z21" s="1"/>
      <c r="AB21" s="1"/>
      <c r="AD21" s="1"/>
    </row>
    <row r="22" spans="1:30" x14ac:dyDescent="0.25">
      <c r="A22" s="165" t="s">
        <v>28</v>
      </c>
      <c r="B22" s="165"/>
      <c r="C22" s="165"/>
      <c r="D22" s="18">
        <f>'Калькулятор лизинга'!K9/100</f>
        <v>0.2</v>
      </c>
      <c r="G22">
        <v>12</v>
      </c>
      <c r="H22" s="21">
        <v>44197</v>
      </c>
      <c r="I22" s="16">
        <f t="shared" si="1"/>
        <v>10687.595010309051</v>
      </c>
      <c r="J22" s="16">
        <f t="shared" si="4"/>
        <v>2137.5190020618102</v>
      </c>
      <c r="K22" s="16">
        <f t="shared" si="5"/>
        <v>86608.238323024285</v>
      </c>
      <c r="L22" s="16">
        <f t="shared" si="6"/>
        <v>17321.647664604858</v>
      </c>
      <c r="M22" s="26">
        <f t="shared" si="2"/>
        <v>116755</v>
      </c>
      <c r="N22" s="26">
        <f t="shared" si="7"/>
        <v>116989.89382095617</v>
      </c>
      <c r="O22" s="16">
        <f t="shared" si="8"/>
        <v>2805900.7374617779</v>
      </c>
      <c r="P22" s="16">
        <f t="shared" si="3"/>
        <v>19459.166666666668</v>
      </c>
      <c r="Q22" s="26">
        <f t="shared" si="9"/>
        <v>97295.833333333328</v>
      </c>
      <c r="R22" s="26">
        <f t="shared" si="10"/>
        <v>97530.727154289503</v>
      </c>
      <c r="S22" s="16">
        <f t="shared" si="11"/>
        <v>19459.166666666668</v>
      </c>
      <c r="T22" s="16">
        <f t="shared" si="12"/>
        <v>19506.145430857901</v>
      </c>
      <c r="U22" s="28">
        <f t="shared" si="13"/>
        <v>77836.666666666657</v>
      </c>
      <c r="V22" s="28">
        <f t="shared" si="14"/>
        <v>78024.581723431605</v>
      </c>
      <c r="W22" s="16">
        <f t="shared" si="15"/>
        <v>234.89382095617904</v>
      </c>
      <c r="X22" s="1"/>
      <c r="Y22" s="1"/>
      <c r="Z22" s="1"/>
      <c r="AB22" s="1"/>
      <c r="AD22" s="1"/>
    </row>
    <row r="23" spans="1:30" x14ac:dyDescent="0.25">
      <c r="A23" s="165" t="s">
        <v>130</v>
      </c>
      <c r="B23" s="165"/>
      <c r="C23" s="165"/>
      <c r="D23" s="10">
        <f>'Калькулятор лизинга'!F30/100/12</f>
        <v>8.3333333333333331E-5</v>
      </c>
      <c r="G23">
        <v>13</v>
      </c>
      <c r="H23" s="21">
        <v>44228</v>
      </c>
      <c r="I23" s="16">
        <f t="shared" si="1"/>
        <v>11081.659771989387</v>
      </c>
      <c r="J23" s="16">
        <f t="shared" si="4"/>
        <v>2216.3319543978773</v>
      </c>
      <c r="K23" s="16">
        <f t="shared" si="5"/>
        <v>86214.173561343952</v>
      </c>
      <c r="L23" s="16">
        <f t="shared" si="6"/>
        <v>17242.834712268792</v>
      </c>
      <c r="M23" s="26">
        <f t="shared" si="2"/>
        <v>116755</v>
      </c>
      <c r="N23" s="26">
        <f t="shared" si="7"/>
        <v>116988.82506145515</v>
      </c>
      <c r="O23" s="16">
        <f t="shared" si="8"/>
        <v>2792602.7457353906</v>
      </c>
      <c r="P23" s="16">
        <f t="shared" si="3"/>
        <v>19459.166666666668</v>
      </c>
      <c r="Q23" s="26">
        <f t="shared" si="9"/>
        <v>97295.833333333328</v>
      </c>
      <c r="R23" s="26">
        <f t="shared" si="10"/>
        <v>97529.658394788479</v>
      </c>
      <c r="S23" s="16">
        <f t="shared" si="11"/>
        <v>19459.166666666668</v>
      </c>
      <c r="T23" s="16">
        <f t="shared" si="12"/>
        <v>19505.931678957695</v>
      </c>
      <c r="U23" s="28">
        <f t="shared" si="13"/>
        <v>77836.666666666657</v>
      </c>
      <c r="V23" s="28">
        <f t="shared" si="14"/>
        <v>78023.72671583078</v>
      </c>
      <c r="W23" s="16">
        <f t="shared" si="15"/>
        <v>233.82506145514816</v>
      </c>
      <c r="X23" s="1"/>
      <c r="Y23" s="1"/>
      <c r="Z23" s="1"/>
      <c r="AB23" s="1"/>
      <c r="AD23" s="1"/>
    </row>
    <row r="24" spans="1:30" x14ac:dyDescent="0.25">
      <c r="A24" s="170" t="s">
        <v>27</v>
      </c>
      <c r="B24" s="170"/>
      <c r="C24" s="170"/>
      <c r="D24" s="17">
        <f>M4</f>
        <v>9664360</v>
      </c>
      <c r="G24">
        <v>14</v>
      </c>
      <c r="H24" s="21">
        <v>44256</v>
      </c>
      <c r="I24" s="16">
        <f t="shared" si="1"/>
        <v>11490.254185686706</v>
      </c>
      <c r="J24" s="16">
        <f t="shared" si="4"/>
        <v>2298.0508371373412</v>
      </c>
      <c r="K24" s="16">
        <f t="shared" si="5"/>
        <v>85805.579147646626</v>
      </c>
      <c r="L24" s="16">
        <f t="shared" si="6"/>
        <v>17161.115829529324</v>
      </c>
      <c r="M24" s="26">
        <f t="shared" si="2"/>
        <v>116755</v>
      </c>
      <c r="N24" s="26">
        <f t="shared" si="7"/>
        <v>116987.71689547795</v>
      </c>
      <c r="O24" s="16">
        <f t="shared" si="8"/>
        <v>2778814.4407125665</v>
      </c>
      <c r="P24" s="16">
        <f t="shared" si="3"/>
        <v>19459.166666666664</v>
      </c>
      <c r="Q24" s="26">
        <f t="shared" si="9"/>
        <v>97295.833333333343</v>
      </c>
      <c r="R24" s="26">
        <f t="shared" si="10"/>
        <v>97528.550228811291</v>
      </c>
      <c r="S24" s="16">
        <f t="shared" si="11"/>
        <v>19459.166666666668</v>
      </c>
      <c r="T24" s="16">
        <f t="shared" si="12"/>
        <v>19505.710045762258</v>
      </c>
      <c r="U24" s="28">
        <f t="shared" si="13"/>
        <v>77836.666666666672</v>
      </c>
      <c r="V24" s="28">
        <f t="shared" si="14"/>
        <v>78022.840183049033</v>
      </c>
      <c r="W24" s="16">
        <f t="shared" si="15"/>
        <v>232.71689547794921</v>
      </c>
      <c r="X24" s="1"/>
      <c r="Y24" s="1"/>
      <c r="Z24" s="1"/>
      <c r="AB24" s="1"/>
      <c r="AD24" s="1"/>
    </row>
    <row r="25" spans="1:30" x14ac:dyDescent="0.25">
      <c r="A25" s="165" t="s">
        <v>20</v>
      </c>
      <c r="B25" s="165"/>
      <c r="C25" s="165"/>
      <c r="D25" s="13">
        <f>IF('Калькулятор лизинга'!D21=Лист2!G3,-'Калькулятор лизинга'!F21,PMT('Аннуитетное (с ндс)'!E17,'Аннуитетное (с ндс)'!D14,'Аннуитетное (с ндс)'!O8))</f>
        <v>-116755</v>
      </c>
      <c r="G25">
        <v>15</v>
      </c>
      <c r="H25" s="21">
        <v>44287</v>
      </c>
      <c r="I25" s="16">
        <f t="shared" si="1"/>
        <v>11913.913977525894</v>
      </c>
      <c r="J25" s="16">
        <f t="shared" si="4"/>
        <v>2382.7827955051789</v>
      </c>
      <c r="K25" s="16">
        <f t="shared" si="5"/>
        <v>85381.919355807433</v>
      </c>
      <c r="L25" s="16">
        <f t="shared" si="6"/>
        <v>17076.383871161488</v>
      </c>
      <c r="M25" s="26">
        <f t="shared" si="2"/>
        <v>116755</v>
      </c>
      <c r="N25" s="26">
        <f t="shared" si="7"/>
        <v>116986.56787005939</v>
      </c>
      <c r="O25" s="16">
        <f t="shared" si="8"/>
        <v>2764517.7439395357</v>
      </c>
      <c r="P25" s="16">
        <f t="shared" si="3"/>
        <v>19459.166666666668</v>
      </c>
      <c r="Q25" s="26">
        <f t="shared" si="9"/>
        <v>97295.833333333328</v>
      </c>
      <c r="R25" s="26">
        <f t="shared" si="10"/>
        <v>97527.401203392714</v>
      </c>
      <c r="S25" s="16">
        <f t="shared" si="11"/>
        <v>19459.166666666668</v>
      </c>
      <c r="T25" s="16">
        <f t="shared" si="12"/>
        <v>19505.480240678542</v>
      </c>
      <c r="U25" s="28">
        <f t="shared" si="13"/>
        <v>77836.666666666657</v>
      </c>
      <c r="V25" s="28">
        <f t="shared" si="14"/>
        <v>78021.920962714168</v>
      </c>
      <c r="W25" s="16">
        <f t="shared" si="15"/>
        <v>231.56787005938054</v>
      </c>
      <c r="X25" s="1"/>
      <c r="Y25" s="1"/>
      <c r="Z25" s="1"/>
      <c r="AB25" s="1"/>
      <c r="AD25" s="1"/>
    </row>
    <row r="26" spans="1:30" x14ac:dyDescent="0.25">
      <c r="D26" s="13"/>
      <c r="G26">
        <v>16</v>
      </c>
      <c r="H26" s="21">
        <v>44317</v>
      </c>
      <c r="I26" s="16">
        <f t="shared" si="1"/>
        <v>12353.194626512413</v>
      </c>
      <c r="J26" s="16">
        <f t="shared" si="4"/>
        <v>2470.6389253024827</v>
      </c>
      <c r="K26" s="16">
        <f t="shared" si="5"/>
        <v>84942.638706820915</v>
      </c>
      <c r="L26" s="16">
        <f t="shared" si="6"/>
        <v>16988.527741364185</v>
      </c>
      <c r="M26" s="26">
        <f t="shared" si="2"/>
        <v>116755</v>
      </c>
      <c r="N26" s="26">
        <f t="shared" si="7"/>
        <v>116985.37647866162</v>
      </c>
      <c r="O26" s="16">
        <f t="shared" si="8"/>
        <v>2749693.9103877209</v>
      </c>
      <c r="P26" s="16">
        <f t="shared" si="3"/>
        <v>19459.166666666668</v>
      </c>
      <c r="Q26" s="26">
        <f t="shared" si="9"/>
        <v>97295.833333333328</v>
      </c>
      <c r="R26" s="26">
        <f t="shared" si="10"/>
        <v>97526.209811994951</v>
      </c>
      <c r="S26" s="16">
        <f t="shared" si="11"/>
        <v>19459.166666666668</v>
      </c>
      <c r="T26" s="16">
        <f t="shared" si="12"/>
        <v>19505.241962398992</v>
      </c>
      <c r="U26" s="28">
        <f t="shared" si="13"/>
        <v>77836.666666666657</v>
      </c>
      <c r="V26" s="28">
        <f t="shared" si="14"/>
        <v>78020.967849595967</v>
      </c>
      <c r="W26" s="16">
        <f t="shared" si="15"/>
        <v>230.37647866162797</v>
      </c>
      <c r="X26" s="1"/>
      <c r="Y26" s="1"/>
      <c r="Z26" s="1"/>
      <c r="AB26" s="1"/>
      <c r="AD26" s="1"/>
    </row>
    <row r="27" spans="1:30" x14ac:dyDescent="0.25">
      <c r="A27" s="166" t="s">
        <v>21</v>
      </c>
      <c r="B27" s="166"/>
      <c r="C27" s="166"/>
      <c r="D27" s="14">
        <f>(M4-D11)/D11</f>
        <v>1.3065298329355608</v>
      </c>
      <c r="G27">
        <v>17</v>
      </c>
      <c r="H27" s="21">
        <v>44348</v>
      </c>
      <c r="I27" s="16">
        <f t="shared" si="1"/>
        <v>12808.6720928453</v>
      </c>
      <c r="J27" s="16">
        <f t="shared" si="4"/>
        <v>2561.7344185690599</v>
      </c>
      <c r="K27" s="16">
        <f t="shared" si="5"/>
        <v>84487.161240488029</v>
      </c>
      <c r="L27" s="16">
        <f t="shared" si="6"/>
        <v>16897.432248097608</v>
      </c>
      <c r="M27" s="26">
        <f t="shared" si="2"/>
        <v>116755</v>
      </c>
      <c r="N27" s="26">
        <f t="shared" si="7"/>
        <v>116984.14115919897</v>
      </c>
      <c r="O27" s="16">
        <f t="shared" si="8"/>
        <v>2734323.5038763066</v>
      </c>
      <c r="P27" s="16">
        <f t="shared" si="3"/>
        <v>19459.166666666668</v>
      </c>
      <c r="Q27" s="26">
        <f t="shared" si="9"/>
        <v>97295.833333333328</v>
      </c>
      <c r="R27" s="26">
        <f t="shared" si="10"/>
        <v>97524.974492532303</v>
      </c>
      <c r="S27" s="16">
        <f t="shared" si="11"/>
        <v>19459.166666666668</v>
      </c>
      <c r="T27" s="16">
        <f t="shared" si="12"/>
        <v>19504.994898506462</v>
      </c>
      <c r="U27" s="28">
        <f t="shared" si="13"/>
        <v>77836.666666666657</v>
      </c>
      <c r="V27" s="28">
        <f t="shared" si="14"/>
        <v>78019.979594025848</v>
      </c>
      <c r="W27" s="16">
        <f t="shared" si="15"/>
        <v>229.14115919897674</v>
      </c>
      <c r="X27" s="1"/>
      <c r="Y27" s="1"/>
      <c r="Z27" s="1"/>
      <c r="AB27" s="1"/>
      <c r="AD27" s="1"/>
    </row>
    <row r="28" spans="1:30" x14ac:dyDescent="0.25">
      <c r="A28" s="166" t="s">
        <v>22</v>
      </c>
      <c r="B28" s="166"/>
      <c r="C28" s="166"/>
      <c r="D28" s="14">
        <f>D27/D15</f>
        <v>0.21775497215592679</v>
      </c>
      <c r="G28">
        <v>18</v>
      </c>
      <c r="H28" s="21">
        <v>44378</v>
      </c>
      <c r="I28" s="16">
        <f t="shared" si="1"/>
        <v>13280.943573083836</v>
      </c>
      <c r="J28" s="16">
        <f t="shared" si="4"/>
        <v>2656.1887146167674</v>
      </c>
      <c r="K28" s="16">
        <f t="shared" si="5"/>
        <v>84014.889760249498</v>
      </c>
      <c r="L28" s="16">
        <f t="shared" si="6"/>
        <v>16802.9779520499</v>
      </c>
      <c r="M28" s="26">
        <f t="shared" si="2"/>
        <v>116755</v>
      </c>
      <c r="N28" s="26">
        <f t="shared" si="7"/>
        <v>116982.86029198969</v>
      </c>
      <c r="O28" s="16">
        <f t="shared" si="8"/>
        <v>2718386.3715886059</v>
      </c>
      <c r="P28" s="16">
        <f t="shared" si="3"/>
        <v>19459.166666666668</v>
      </c>
      <c r="Q28" s="26">
        <f t="shared" si="9"/>
        <v>97295.833333333328</v>
      </c>
      <c r="R28" s="26">
        <f t="shared" si="10"/>
        <v>97523.693625323023</v>
      </c>
      <c r="S28" s="16">
        <f t="shared" si="11"/>
        <v>19459.166666666668</v>
      </c>
      <c r="T28" s="16">
        <f t="shared" si="12"/>
        <v>19504.738725064606</v>
      </c>
      <c r="U28" s="28">
        <f t="shared" si="13"/>
        <v>77836.666666666657</v>
      </c>
      <c r="V28" s="28">
        <f t="shared" si="14"/>
        <v>78018.954900258424</v>
      </c>
      <c r="W28" s="16">
        <f t="shared" si="15"/>
        <v>227.8602919896922</v>
      </c>
      <c r="X28" s="1"/>
      <c r="Y28" s="1"/>
      <c r="Z28" s="1"/>
      <c r="AB28" s="1"/>
      <c r="AD28" s="1"/>
    </row>
    <row r="29" spans="1:30" x14ac:dyDescent="0.25">
      <c r="D29" s="10">
        <f>D28*1.45/(1-D18)</f>
        <v>0.45106387089441985</v>
      </c>
      <c r="G29">
        <v>19</v>
      </c>
      <c r="H29" s="21">
        <v>44409</v>
      </c>
      <c r="I29" s="16">
        <f t="shared" si="1"/>
        <v>13770.628283158379</v>
      </c>
      <c r="J29" s="16">
        <f t="shared" si="4"/>
        <v>2754.1256566316761</v>
      </c>
      <c r="K29" s="16">
        <f t="shared" si="5"/>
        <v>83525.205050174947</v>
      </c>
      <c r="L29" s="16">
        <f t="shared" si="6"/>
        <v>16705.041010034991</v>
      </c>
      <c r="M29" s="26">
        <f t="shared" si="2"/>
        <v>116755</v>
      </c>
      <c r="N29" s="26">
        <f t="shared" si="7"/>
        <v>116981.53219763239</v>
      </c>
      <c r="O29" s="16">
        <f t="shared" si="8"/>
        <v>2701861.6176488157</v>
      </c>
      <c r="P29" s="16">
        <f t="shared" si="3"/>
        <v>19459.166666666668</v>
      </c>
      <c r="Q29" s="26">
        <f t="shared" si="9"/>
        <v>97295.833333333328</v>
      </c>
      <c r="R29" s="26">
        <f t="shared" si="10"/>
        <v>97522.365530965719</v>
      </c>
      <c r="S29" s="16">
        <f t="shared" si="11"/>
        <v>19459.166666666668</v>
      </c>
      <c r="T29" s="16">
        <f t="shared" si="12"/>
        <v>19504.473106193145</v>
      </c>
      <c r="U29" s="28">
        <f t="shared" si="13"/>
        <v>77836.666666666657</v>
      </c>
      <c r="V29" s="28">
        <f t="shared" si="14"/>
        <v>78017.892424772581</v>
      </c>
      <c r="W29" s="16">
        <f t="shared" si="15"/>
        <v>226.53219763238383</v>
      </c>
      <c r="X29" s="1"/>
      <c r="Y29" s="1"/>
      <c r="Z29" s="1"/>
      <c r="AB29" s="1"/>
      <c r="AD29" s="1"/>
    </row>
    <row r="30" spans="1:30" x14ac:dyDescent="0.25">
      <c r="A30" s="165" t="s">
        <v>43</v>
      </c>
      <c r="B30" s="165"/>
      <c r="C30" s="165"/>
      <c r="D30" s="2">
        <f>N4-P4-T4</f>
        <v>6452803.1623875964</v>
      </c>
      <c r="F30" s="13"/>
      <c r="G30">
        <v>20</v>
      </c>
      <c r="H30" s="21">
        <v>44440</v>
      </c>
      <c r="I30" s="16">
        <f t="shared" si="1"/>
        <v>14278.368270251558</v>
      </c>
      <c r="J30" s="16">
        <f t="shared" si="4"/>
        <v>2855.6736540503116</v>
      </c>
      <c r="K30" s="16">
        <f t="shared" si="5"/>
        <v>83017.465063081778</v>
      </c>
      <c r="L30" s="16">
        <f t="shared" si="6"/>
        <v>16603.493012616356</v>
      </c>
      <c r="M30" s="26">
        <f t="shared" si="2"/>
        <v>116755</v>
      </c>
      <c r="N30" s="26">
        <f t="shared" si="7"/>
        <v>116980.15513480407</v>
      </c>
      <c r="O30" s="16">
        <f t="shared" si="8"/>
        <v>2684727.5757245142</v>
      </c>
      <c r="P30" s="16">
        <f t="shared" si="3"/>
        <v>19459.166666666668</v>
      </c>
      <c r="Q30" s="26">
        <f t="shared" si="9"/>
        <v>97295.833333333328</v>
      </c>
      <c r="R30" s="26">
        <f t="shared" si="10"/>
        <v>97520.988468137395</v>
      </c>
      <c r="S30" s="16">
        <f t="shared" si="11"/>
        <v>19459.166666666668</v>
      </c>
      <c r="T30" s="16">
        <f t="shared" si="12"/>
        <v>19504.19769362748</v>
      </c>
      <c r="U30" s="28">
        <f t="shared" si="13"/>
        <v>77836.666666666657</v>
      </c>
      <c r="V30" s="28">
        <f t="shared" si="14"/>
        <v>78016.790774509922</v>
      </c>
      <c r="W30" s="16">
        <f t="shared" si="15"/>
        <v>225.15513480406798</v>
      </c>
      <c r="X30" s="1"/>
      <c r="Y30" s="1"/>
      <c r="Z30" s="1"/>
      <c r="AB30" s="1"/>
      <c r="AD30" s="1"/>
    </row>
    <row r="31" spans="1:30" x14ac:dyDescent="0.25">
      <c r="F31" s="13"/>
      <c r="G31">
        <v>21</v>
      </c>
      <c r="H31" s="21">
        <v>44470</v>
      </c>
      <c r="I31" s="16">
        <f t="shared" si="1"/>
        <v>14804.829254614586</v>
      </c>
      <c r="J31" s="16">
        <f t="shared" si="4"/>
        <v>2960.9658509229175</v>
      </c>
      <c r="K31" s="16">
        <f t="shared" si="5"/>
        <v>82491.004078718746</v>
      </c>
      <c r="L31" s="16">
        <f t="shared" si="6"/>
        <v>16498.200815743749</v>
      </c>
      <c r="M31" s="26">
        <f t="shared" si="2"/>
        <v>116755</v>
      </c>
      <c r="N31" s="26">
        <f t="shared" si="7"/>
        <v>116978.72729797705</v>
      </c>
      <c r="O31" s="16">
        <f t="shared" si="8"/>
        <v>2666961.7806189768</v>
      </c>
      <c r="P31" s="16">
        <f t="shared" si="3"/>
        <v>19459.166666666664</v>
      </c>
      <c r="Q31" s="26">
        <f t="shared" si="9"/>
        <v>97295.833333333343</v>
      </c>
      <c r="R31" s="26">
        <f t="shared" si="10"/>
        <v>97519.560631310393</v>
      </c>
      <c r="S31" s="16">
        <f t="shared" si="11"/>
        <v>19459.166666666668</v>
      </c>
      <c r="T31" s="16">
        <f t="shared" si="12"/>
        <v>19503.912126262079</v>
      </c>
      <c r="U31" s="28">
        <f t="shared" si="13"/>
        <v>77836.666666666672</v>
      </c>
      <c r="V31" s="28">
        <f t="shared" si="14"/>
        <v>78015.648505048317</v>
      </c>
      <c r="W31" s="16">
        <f t="shared" si="15"/>
        <v>223.72729797704284</v>
      </c>
      <c r="X31" s="1"/>
      <c r="Y31" s="1"/>
      <c r="Z31" s="1"/>
      <c r="AB31" s="1"/>
      <c r="AD31" s="1"/>
    </row>
    <row r="32" spans="1:30" x14ac:dyDescent="0.25">
      <c r="A32" t="s">
        <v>115</v>
      </c>
      <c r="D32" t="str">
        <f>VLOOKUP('Калькулятор лизинга'!K7,Лист2!C2:E10,3,)</f>
        <v>да</v>
      </c>
      <c r="G32">
        <v>22</v>
      </c>
      <c r="H32" s="21">
        <v>44501</v>
      </c>
      <c r="I32" s="16">
        <f t="shared" si="1"/>
        <v>15350.701502422478</v>
      </c>
      <c r="J32" s="16">
        <f t="shared" si="4"/>
        <v>3070.140300484496</v>
      </c>
      <c r="K32" s="16">
        <f t="shared" si="5"/>
        <v>81945.131830910861</v>
      </c>
      <c r="L32" s="16">
        <f t="shared" si="6"/>
        <v>16389.026366182174</v>
      </c>
      <c r="M32" s="26">
        <f t="shared" si="2"/>
        <v>116755</v>
      </c>
      <c r="N32" s="26">
        <f t="shared" si="7"/>
        <v>116977.24681505158</v>
      </c>
      <c r="O32" s="16">
        <f t="shared" si="8"/>
        <v>2648540.9388160701</v>
      </c>
      <c r="P32" s="16">
        <f t="shared" si="3"/>
        <v>19459.166666666672</v>
      </c>
      <c r="Q32" s="26">
        <f t="shared" si="9"/>
        <v>97295.833333333328</v>
      </c>
      <c r="R32" s="26">
        <f t="shared" si="10"/>
        <v>97518.080148384906</v>
      </c>
      <c r="S32" s="16">
        <f t="shared" si="11"/>
        <v>19459.166666666668</v>
      </c>
      <c r="T32" s="16">
        <f t="shared" si="12"/>
        <v>19503.616029676981</v>
      </c>
      <c r="U32" s="28">
        <f t="shared" si="13"/>
        <v>77836.666666666657</v>
      </c>
      <c r="V32" s="28">
        <f t="shared" si="14"/>
        <v>78014.464118707925</v>
      </c>
      <c r="W32" s="16">
        <f t="shared" si="15"/>
        <v>222.24681505158139</v>
      </c>
      <c r="X32" s="1"/>
      <c r="Y32" s="1"/>
      <c r="Z32" s="1"/>
      <c r="AB32" s="1"/>
      <c r="AD32" s="1"/>
    </row>
    <row r="33" spans="1:30" x14ac:dyDescent="0.25">
      <c r="A33" t="s">
        <v>119</v>
      </c>
      <c r="C33" s="9"/>
      <c r="D33" s="9" t="str">
        <f>VLOOKUP('Калькулятор лизинга'!K7,Лист2!C2:F10,4,)</f>
        <v>да</v>
      </c>
      <c r="E33" s="3"/>
      <c r="G33">
        <v>23</v>
      </c>
      <c r="H33" s="21">
        <v>44531</v>
      </c>
      <c r="I33" s="16">
        <f t="shared" si="1"/>
        <v>15916.700730812325</v>
      </c>
      <c r="J33" s="16">
        <f t="shared" si="4"/>
        <v>3183.3401461624653</v>
      </c>
      <c r="K33" s="16">
        <f t="shared" si="5"/>
        <v>81379.132602521015</v>
      </c>
      <c r="L33" s="16">
        <f t="shared" si="6"/>
        <v>16275.826520504204</v>
      </c>
      <c r="M33" s="26">
        <f t="shared" si="2"/>
        <v>116755</v>
      </c>
      <c r="N33" s="26">
        <f t="shared" si="7"/>
        <v>116975.71174490135</v>
      </c>
      <c r="O33" s="16">
        <f t="shared" si="8"/>
        <v>2629440.8979390953</v>
      </c>
      <c r="P33" s="16">
        <f t="shared" si="3"/>
        <v>19459.166666666672</v>
      </c>
      <c r="Q33" s="26">
        <f t="shared" si="9"/>
        <v>97295.833333333328</v>
      </c>
      <c r="R33" s="26">
        <f t="shared" si="10"/>
        <v>97516.545078234674</v>
      </c>
      <c r="S33" s="16">
        <f t="shared" si="11"/>
        <v>19459.166666666668</v>
      </c>
      <c r="T33" s="16">
        <f t="shared" si="12"/>
        <v>19503.309015646937</v>
      </c>
      <c r="U33" s="28">
        <f t="shared" si="13"/>
        <v>77836.666666666657</v>
      </c>
      <c r="V33" s="28">
        <f t="shared" si="14"/>
        <v>78013.236062587734</v>
      </c>
      <c r="W33" s="16">
        <f t="shared" si="15"/>
        <v>220.71174490133916</v>
      </c>
      <c r="X33" s="1"/>
      <c r="Y33" s="1"/>
      <c r="Z33" s="1"/>
      <c r="AB33" s="1"/>
      <c r="AD33" s="1"/>
    </row>
    <row r="34" spans="1:30" x14ac:dyDescent="0.25">
      <c r="C34" s="9"/>
      <c r="D34" s="9"/>
      <c r="G34">
        <v>24</v>
      </c>
      <c r="H34" s="21">
        <v>44562</v>
      </c>
      <c r="I34" s="16">
        <f t="shared" si="1"/>
        <v>16503.569046291595</v>
      </c>
      <c r="J34" s="16">
        <f t="shared" si="4"/>
        <v>3300.7138092583191</v>
      </c>
      <c r="K34" s="16">
        <f t="shared" si="5"/>
        <v>80792.264287041733</v>
      </c>
      <c r="L34" s="16">
        <f t="shared" si="6"/>
        <v>16158.452857408347</v>
      </c>
      <c r="M34" s="26">
        <f t="shared" si="2"/>
        <v>116755</v>
      </c>
      <c r="N34" s="26">
        <f t="shared" si="7"/>
        <v>116974.12007482826</v>
      </c>
      <c r="O34" s="16">
        <f t="shared" si="8"/>
        <v>2609636.6150835454</v>
      </c>
      <c r="P34" s="16">
        <f t="shared" si="3"/>
        <v>19459.166666666664</v>
      </c>
      <c r="Q34" s="26">
        <f t="shared" si="9"/>
        <v>97295.833333333343</v>
      </c>
      <c r="R34" s="26">
        <f t="shared" si="10"/>
        <v>97514.9534081616</v>
      </c>
      <c r="S34" s="16">
        <f t="shared" si="11"/>
        <v>19459.166666666668</v>
      </c>
      <c r="T34" s="16">
        <f t="shared" si="12"/>
        <v>19502.99068163232</v>
      </c>
      <c r="U34" s="28">
        <f t="shared" si="13"/>
        <v>77836.666666666672</v>
      </c>
      <c r="V34" s="28">
        <f t="shared" si="14"/>
        <v>78011.96272652928</v>
      </c>
      <c r="W34" s="16">
        <f t="shared" si="15"/>
        <v>219.12007482825794</v>
      </c>
      <c r="X34" s="1"/>
      <c r="Y34" s="1"/>
      <c r="Z34" s="1"/>
      <c r="AB34" s="1"/>
      <c r="AD34" s="1"/>
    </row>
    <row r="35" spans="1:30" x14ac:dyDescent="0.25">
      <c r="G35">
        <v>25</v>
      </c>
      <c r="H35" s="21">
        <v>44593</v>
      </c>
      <c r="I35" s="16">
        <f t="shared" si="1"/>
        <v>17112.075917746675</v>
      </c>
      <c r="J35" s="16">
        <f t="shared" si="4"/>
        <v>3422.4151835493353</v>
      </c>
      <c r="K35" s="16">
        <f t="shared" si="5"/>
        <v>80183.75741558666</v>
      </c>
      <c r="L35" s="16">
        <f t="shared" si="6"/>
        <v>16036.751483117332</v>
      </c>
      <c r="M35" s="26">
        <f t="shared" si="2"/>
        <v>116755</v>
      </c>
      <c r="N35" s="26">
        <f t="shared" si="7"/>
        <v>116972.46971792362</v>
      </c>
      <c r="O35" s="16">
        <f t="shared" si="8"/>
        <v>2589102.1239822493</v>
      </c>
      <c r="P35" s="16">
        <f t="shared" si="3"/>
        <v>19459.166666666668</v>
      </c>
      <c r="Q35" s="26">
        <f t="shared" si="9"/>
        <v>97295.833333333328</v>
      </c>
      <c r="R35" s="26">
        <f t="shared" si="10"/>
        <v>97513.303051256953</v>
      </c>
      <c r="S35" s="16">
        <f t="shared" si="11"/>
        <v>19459.166666666668</v>
      </c>
      <c r="T35" s="16">
        <f t="shared" si="12"/>
        <v>19502.660610251391</v>
      </c>
      <c r="U35" s="28">
        <f t="shared" si="13"/>
        <v>77836.666666666657</v>
      </c>
      <c r="V35" s="28">
        <f t="shared" si="14"/>
        <v>78010.642441005562</v>
      </c>
      <c r="W35" s="16">
        <f t="shared" si="15"/>
        <v>217.46971792362879</v>
      </c>
      <c r="X35" s="1"/>
      <c r="Y35" s="1"/>
      <c r="Z35" s="1"/>
      <c r="AB35" s="1"/>
      <c r="AD35" s="1"/>
    </row>
    <row r="36" spans="1:30" x14ac:dyDescent="0.25">
      <c r="G36">
        <v>26</v>
      </c>
      <c r="H36" s="21">
        <v>44621</v>
      </c>
      <c r="I36" s="16">
        <f t="shared" si="1"/>
        <v>17743.019185327285</v>
      </c>
      <c r="J36" s="16">
        <f t="shared" si="4"/>
        <v>3548.6038370654569</v>
      </c>
      <c r="K36" s="16">
        <f t="shared" si="5"/>
        <v>79552.814148006044</v>
      </c>
      <c r="L36" s="16">
        <f t="shared" si="6"/>
        <v>15910.562829601209</v>
      </c>
      <c r="M36" s="26">
        <f t="shared" si="2"/>
        <v>116755</v>
      </c>
      <c r="N36" s="26">
        <f t="shared" si="7"/>
        <v>116970.75851033186</v>
      </c>
      <c r="O36" s="16">
        <f t="shared" si="8"/>
        <v>2567810.5009598564</v>
      </c>
      <c r="P36" s="16">
        <f t="shared" si="3"/>
        <v>19459.166666666664</v>
      </c>
      <c r="Q36" s="26">
        <f t="shared" si="9"/>
        <v>97295.833333333343</v>
      </c>
      <c r="R36" s="26">
        <f t="shared" si="10"/>
        <v>97511.591843665199</v>
      </c>
      <c r="S36" s="16">
        <f t="shared" si="11"/>
        <v>19459.166666666668</v>
      </c>
      <c r="T36" s="16">
        <f t="shared" si="12"/>
        <v>19502.318368733042</v>
      </c>
      <c r="U36" s="28">
        <f t="shared" si="13"/>
        <v>77836.666666666672</v>
      </c>
      <c r="V36" s="28">
        <f t="shared" si="14"/>
        <v>78009.273474932153</v>
      </c>
      <c r="W36" s="16">
        <f t="shared" si="15"/>
        <v>215.7585103318541</v>
      </c>
      <c r="X36" s="1"/>
      <c r="Y36" s="1"/>
      <c r="Z36" s="1"/>
      <c r="AB36" s="1"/>
      <c r="AD36" s="1"/>
    </row>
    <row r="37" spans="1:30" x14ac:dyDescent="0.25">
      <c r="G37">
        <v>27</v>
      </c>
      <c r="H37" s="21">
        <v>44652</v>
      </c>
      <c r="I37" s="16">
        <f t="shared" si="1"/>
        <v>18397.226106529997</v>
      </c>
      <c r="J37" s="16">
        <f t="shared" si="4"/>
        <v>3679.4452213059994</v>
      </c>
      <c r="K37" s="16">
        <f t="shared" si="5"/>
        <v>78898.607226803331</v>
      </c>
      <c r="L37" s="16">
        <f t="shared" si="6"/>
        <v>15779.721445360667</v>
      </c>
      <c r="M37" s="26">
        <f t="shared" si="2"/>
        <v>116755</v>
      </c>
      <c r="N37" s="26">
        <f t="shared" si="7"/>
        <v>116968.98420841333</v>
      </c>
      <c r="O37" s="16">
        <f t="shared" si="8"/>
        <v>2545733.8296320206</v>
      </c>
      <c r="P37" s="16">
        <f t="shared" si="3"/>
        <v>19459.166666666664</v>
      </c>
      <c r="Q37" s="26">
        <f t="shared" si="9"/>
        <v>97295.833333333343</v>
      </c>
      <c r="R37" s="26">
        <f t="shared" si="10"/>
        <v>97509.81754174667</v>
      </c>
      <c r="S37" s="16">
        <f t="shared" si="11"/>
        <v>19459.166666666668</v>
      </c>
      <c r="T37" s="16">
        <f t="shared" si="12"/>
        <v>19501.963508349334</v>
      </c>
      <c r="U37" s="28">
        <f t="shared" si="13"/>
        <v>77836.666666666672</v>
      </c>
      <c r="V37" s="28">
        <f t="shared" si="14"/>
        <v>78007.854033397336</v>
      </c>
      <c r="W37" s="16">
        <f t="shared" si="15"/>
        <v>213.98420841332137</v>
      </c>
      <c r="X37" s="1"/>
      <c r="Y37" s="1"/>
      <c r="Z37" s="1"/>
      <c r="AB37" s="1"/>
      <c r="AD37" s="1"/>
    </row>
    <row r="38" spans="1:30" x14ac:dyDescent="0.25">
      <c r="G38">
        <v>28</v>
      </c>
      <c r="H38" s="21">
        <v>44682</v>
      </c>
      <c r="I38" s="16">
        <f t="shared" si="1"/>
        <v>19075.554440851811</v>
      </c>
      <c r="J38" s="16">
        <f t="shared" si="4"/>
        <v>3815.1108881703622</v>
      </c>
      <c r="K38" s="16">
        <f t="shared" si="5"/>
        <v>78220.278892481525</v>
      </c>
      <c r="L38" s="16">
        <f t="shared" si="6"/>
        <v>15644.055778496306</v>
      </c>
      <c r="M38" s="26">
        <f t="shared" si="2"/>
        <v>116755</v>
      </c>
      <c r="N38" s="26">
        <f t="shared" si="7"/>
        <v>116967.14448580267</v>
      </c>
      <c r="O38" s="16">
        <f t="shared" si="8"/>
        <v>2522843.1643029982</v>
      </c>
      <c r="P38" s="16">
        <f t="shared" si="3"/>
        <v>19459.166666666668</v>
      </c>
      <c r="Q38" s="26">
        <f t="shared" si="9"/>
        <v>97295.833333333328</v>
      </c>
      <c r="R38" s="26">
        <f t="shared" si="10"/>
        <v>97507.977819135995</v>
      </c>
      <c r="S38" s="16">
        <f t="shared" si="11"/>
        <v>19459.166666666668</v>
      </c>
      <c r="T38" s="16">
        <f t="shared" si="12"/>
        <v>19501.595563827199</v>
      </c>
      <c r="U38" s="28">
        <f t="shared" si="13"/>
        <v>77836.666666666657</v>
      </c>
      <c r="V38" s="28">
        <f t="shared" si="14"/>
        <v>78006.382255308796</v>
      </c>
      <c r="W38" s="16">
        <f t="shared" si="15"/>
        <v>212.14448580266838</v>
      </c>
      <c r="X38" s="1"/>
      <c r="Y38" s="1"/>
      <c r="Z38" s="1"/>
      <c r="AB38" s="1"/>
      <c r="AD38" s="1"/>
    </row>
    <row r="39" spans="1:30" x14ac:dyDescent="0.25">
      <c r="G39">
        <v>29</v>
      </c>
      <c r="H39" s="21">
        <v>44713</v>
      </c>
      <c r="I39" s="16">
        <f t="shared" si="1"/>
        <v>19778.893574436494</v>
      </c>
      <c r="J39" s="16">
        <f t="shared" si="4"/>
        <v>3955.778714887299</v>
      </c>
      <c r="K39" s="16">
        <f t="shared" si="5"/>
        <v>77516.939758896842</v>
      </c>
      <c r="L39" s="16">
        <f t="shared" si="6"/>
        <v>15503.387951779368</v>
      </c>
      <c r="M39" s="26">
        <f t="shared" si="2"/>
        <v>116755</v>
      </c>
      <c r="N39" s="26">
        <f t="shared" si="7"/>
        <v>116965.23693035859</v>
      </c>
      <c r="O39" s="16">
        <f t="shared" si="8"/>
        <v>2499108.4920136742</v>
      </c>
      <c r="P39" s="16">
        <f t="shared" si="3"/>
        <v>19459.166666666668</v>
      </c>
      <c r="Q39" s="26">
        <f t="shared" si="9"/>
        <v>97295.833333333328</v>
      </c>
      <c r="R39" s="26">
        <f t="shared" si="10"/>
        <v>97506.070263691916</v>
      </c>
      <c r="S39" s="16">
        <f t="shared" si="11"/>
        <v>19459.166666666668</v>
      </c>
      <c r="T39" s="16">
        <f t="shared" si="12"/>
        <v>19501.214052738385</v>
      </c>
      <c r="U39" s="28">
        <f t="shared" si="13"/>
        <v>77836.666666666657</v>
      </c>
      <c r="V39" s="28">
        <f t="shared" si="14"/>
        <v>78004.856210953527</v>
      </c>
      <c r="W39" s="16">
        <f t="shared" si="15"/>
        <v>210.23693035858318</v>
      </c>
      <c r="X39" s="1"/>
      <c r="Y39" s="1"/>
      <c r="Z39" s="1"/>
      <c r="AB39" s="1"/>
      <c r="AD39" s="1"/>
    </row>
    <row r="40" spans="1:30" x14ac:dyDescent="0.25">
      <c r="G40">
        <v>30</v>
      </c>
      <c r="H40" s="21">
        <v>44743</v>
      </c>
      <c r="I40" s="16">
        <f t="shared" si="1"/>
        <v>20508.165686187836</v>
      </c>
      <c r="J40" s="16">
        <f t="shared" si="4"/>
        <v>4101.6331372375671</v>
      </c>
      <c r="K40" s="16">
        <f t="shared" si="5"/>
        <v>76787.667647145499</v>
      </c>
      <c r="L40" s="16">
        <f t="shared" si="6"/>
        <v>15357.5335294291</v>
      </c>
      <c r="M40" s="26">
        <f t="shared" si="2"/>
        <v>116755</v>
      </c>
      <c r="N40" s="26">
        <f t="shared" si="7"/>
        <v>116963.25904100113</v>
      </c>
      <c r="O40" s="16">
        <f t="shared" si="8"/>
        <v>2474498.6931902487</v>
      </c>
      <c r="P40" s="16">
        <f t="shared" si="3"/>
        <v>19459.166666666668</v>
      </c>
      <c r="Q40" s="26">
        <f t="shared" si="9"/>
        <v>97295.833333333328</v>
      </c>
      <c r="R40" s="26">
        <f t="shared" si="10"/>
        <v>97504.092374334461</v>
      </c>
      <c r="S40" s="16">
        <f t="shared" si="11"/>
        <v>19459.166666666668</v>
      </c>
      <c r="T40" s="16">
        <f t="shared" si="12"/>
        <v>19500.818474866894</v>
      </c>
      <c r="U40" s="28">
        <f t="shared" si="13"/>
        <v>77836.666666666657</v>
      </c>
      <c r="V40" s="28">
        <f t="shared" si="14"/>
        <v>78003.273899467575</v>
      </c>
      <c r="W40" s="16">
        <f t="shared" si="15"/>
        <v>208.25904100113951</v>
      </c>
      <c r="X40" s="1"/>
      <c r="Y40" s="1"/>
      <c r="Z40" s="1"/>
      <c r="AB40" s="1"/>
      <c r="AD40" s="1"/>
    </row>
    <row r="41" spans="1:30" x14ac:dyDescent="0.25">
      <c r="G41">
        <v>31</v>
      </c>
      <c r="H41" s="21">
        <v>44774</v>
      </c>
      <c r="I41" s="16">
        <f t="shared" si="1"/>
        <v>21264.326956879064</v>
      </c>
      <c r="J41" s="16">
        <f t="shared" si="4"/>
        <v>4252.8653913758126</v>
      </c>
      <c r="K41" s="16">
        <f t="shared" si="5"/>
        <v>76031.506376454272</v>
      </c>
      <c r="L41" s="16">
        <f t="shared" si="6"/>
        <v>15206.301275290854</v>
      </c>
      <c r="M41" s="26">
        <f t="shared" si="2"/>
        <v>116755</v>
      </c>
      <c r="N41" s="26">
        <f t="shared" si="7"/>
        <v>116961.20822443251</v>
      </c>
      <c r="O41" s="16">
        <f t="shared" si="8"/>
        <v>2448981.5008419938</v>
      </c>
      <c r="P41" s="16">
        <f t="shared" si="3"/>
        <v>19459.166666666668</v>
      </c>
      <c r="Q41" s="26">
        <f t="shared" si="9"/>
        <v>97295.833333333328</v>
      </c>
      <c r="R41" s="26">
        <f t="shared" si="10"/>
        <v>97502.041557765842</v>
      </c>
      <c r="S41" s="16">
        <f t="shared" si="11"/>
        <v>19459.166666666668</v>
      </c>
      <c r="T41" s="16">
        <f t="shared" si="12"/>
        <v>19500.408311553168</v>
      </c>
      <c r="U41" s="28">
        <f t="shared" si="13"/>
        <v>77836.666666666657</v>
      </c>
      <c r="V41" s="28">
        <f t="shared" si="14"/>
        <v>78001.633246212674</v>
      </c>
      <c r="W41" s="16">
        <f t="shared" si="15"/>
        <v>206.20822443252072</v>
      </c>
      <c r="X41" s="1"/>
      <c r="Y41" s="1"/>
      <c r="Z41" s="1"/>
      <c r="AB41" s="1"/>
      <c r="AD41" s="1"/>
    </row>
    <row r="42" spans="1:30" x14ac:dyDescent="0.25">
      <c r="G42">
        <v>32</v>
      </c>
      <c r="H42" s="21">
        <v>44805</v>
      </c>
      <c r="I42" s="16">
        <f t="shared" si="1"/>
        <v>22048.368822843539</v>
      </c>
      <c r="J42" s="16">
        <f t="shared" si="4"/>
        <v>4409.6737645687081</v>
      </c>
      <c r="K42" s="16">
        <f t="shared" si="5"/>
        <v>75247.464510489794</v>
      </c>
      <c r="L42" s="16">
        <f t="shared" si="6"/>
        <v>15049.49290209796</v>
      </c>
      <c r="M42" s="26">
        <f t="shared" si="2"/>
        <v>116755</v>
      </c>
      <c r="N42" s="26">
        <f t="shared" si="7"/>
        <v>116959.08179173683</v>
      </c>
      <c r="O42" s="16">
        <f t="shared" si="8"/>
        <v>2422523.4582545813</v>
      </c>
      <c r="P42" s="16">
        <f t="shared" si="3"/>
        <v>19459.166666666668</v>
      </c>
      <c r="Q42" s="26">
        <f t="shared" si="9"/>
        <v>97295.833333333328</v>
      </c>
      <c r="R42" s="26">
        <f t="shared" si="10"/>
        <v>97499.915125070154</v>
      </c>
      <c r="S42" s="16">
        <f t="shared" si="11"/>
        <v>19459.166666666668</v>
      </c>
      <c r="T42" s="16">
        <f t="shared" si="12"/>
        <v>19499.983025014033</v>
      </c>
      <c r="U42" s="28">
        <f t="shared" si="13"/>
        <v>77836.666666666657</v>
      </c>
      <c r="V42" s="28">
        <f t="shared" si="14"/>
        <v>77999.932100056118</v>
      </c>
      <c r="W42" s="16">
        <f t="shared" si="15"/>
        <v>204.08179173683283</v>
      </c>
      <c r="X42" s="1"/>
      <c r="Y42" s="1"/>
      <c r="Z42" s="1"/>
      <c r="AB42" s="1"/>
      <c r="AD42" s="1"/>
    </row>
    <row r="43" spans="1:30" x14ac:dyDescent="0.25">
      <c r="G43">
        <v>33</v>
      </c>
      <c r="H43" s="21">
        <v>44835</v>
      </c>
      <c r="I43" s="16">
        <f t="shared" ref="I43:I74" si="16">IF(G43&lt;$D$14,(M43-L43-K43)*1/(1+$D$21),IF(G43=$D$14,(M43-L43-K43-$D$20)*1/(1+$D$21),0))</f>
        <v>22861.319275890601</v>
      </c>
      <c r="J43" s="16">
        <f t="shared" si="4"/>
        <v>4572.2638551781201</v>
      </c>
      <c r="K43" s="16">
        <f t="shared" si="5"/>
        <v>74434.514057442735</v>
      </c>
      <c r="L43" s="16">
        <f t="shared" si="6"/>
        <v>14886.902811488548</v>
      </c>
      <c r="M43" s="26">
        <f t="shared" ref="M43:M74" si="17">IF(G43&lt;=$D$14,-$D$25,0)+IF(G43=$D$14,$D$20,0)</f>
        <v>116755</v>
      </c>
      <c r="N43" s="26">
        <f t="shared" si="7"/>
        <v>116956.87695485455</v>
      </c>
      <c r="O43" s="16">
        <f t="shared" si="8"/>
        <v>2395089.8751235129</v>
      </c>
      <c r="P43" s="16">
        <f t="shared" ref="P43:P74" si="18">IF($D$32="нет",0,J43+L43+IF(G43=$D$14,$D$20*$D$21/(1+$D$21),0))</f>
        <v>19459.166666666668</v>
      </c>
      <c r="Q43" s="26">
        <f t="shared" ref="Q43:Q74" si="19">IF(G43&lt;=$D$14,M43-P43,0)</f>
        <v>97295.833333333328</v>
      </c>
      <c r="R43" s="26">
        <f t="shared" si="10"/>
        <v>97497.710288187882</v>
      </c>
      <c r="S43" s="16">
        <f t="shared" si="11"/>
        <v>19459.166666666668</v>
      </c>
      <c r="T43" s="16">
        <f t="shared" si="12"/>
        <v>19499.542057637576</v>
      </c>
      <c r="U43" s="28">
        <f t="shared" si="13"/>
        <v>77836.666666666657</v>
      </c>
      <c r="V43" s="28">
        <f t="shared" si="14"/>
        <v>77998.168230550305</v>
      </c>
      <c r="W43" s="16">
        <f t="shared" si="15"/>
        <v>201.87695485454844</v>
      </c>
      <c r="X43" s="1"/>
      <c r="Y43" s="1"/>
      <c r="Z43" s="1"/>
      <c r="AB43" s="1"/>
      <c r="AD43" s="1"/>
    </row>
    <row r="44" spans="1:30" x14ac:dyDescent="0.25">
      <c r="G44">
        <v>34</v>
      </c>
      <c r="H44" s="21">
        <v>44866</v>
      </c>
      <c r="I44" s="16">
        <f t="shared" si="16"/>
        <v>23704.244211150788</v>
      </c>
      <c r="J44" s="16">
        <f t="shared" si="4"/>
        <v>4740.848842230158</v>
      </c>
      <c r="K44" s="16">
        <f t="shared" ref="K44:K75" si="20">IF(G44&lt;=$D$14,O43*$D$17,0)</f>
        <v>73591.589122182544</v>
      </c>
      <c r="L44" s="16">
        <f t="shared" si="6"/>
        <v>14718.31782443651</v>
      </c>
      <c r="M44" s="26">
        <f t="shared" si="17"/>
        <v>116755</v>
      </c>
      <c r="N44" s="26">
        <f t="shared" si="7"/>
        <v>116954.59082292696</v>
      </c>
      <c r="O44" s="16">
        <f t="shared" ref="O44:O75" si="21">IF(G44&lt;$D$14,O43-I44-J44,0)</f>
        <v>2366644.782070132</v>
      </c>
      <c r="P44" s="16">
        <f t="shared" si="18"/>
        <v>19459.166666666668</v>
      </c>
      <c r="Q44" s="26">
        <f t="shared" si="19"/>
        <v>97295.833333333328</v>
      </c>
      <c r="R44" s="26">
        <f t="shared" si="10"/>
        <v>97495.424156260284</v>
      </c>
      <c r="S44" s="16">
        <f t="shared" si="11"/>
        <v>19459.166666666668</v>
      </c>
      <c r="T44" s="16">
        <f t="shared" si="12"/>
        <v>19499.084831252057</v>
      </c>
      <c r="U44" s="28">
        <f t="shared" si="13"/>
        <v>77836.666666666657</v>
      </c>
      <c r="V44" s="28">
        <f t="shared" si="14"/>
        <v>77996.33932500823</v>
      </c>
      <c r="W44" s="16">
        <f t="shared" ref="W44:W75" si="22">IF(G44&lt;=$D$14,O43*$D$23,0)</f>
        <v>199.59082292695939</v>
      </c>
      <c r="X44" s="1"/>
      <c r="Y44" s="1"/>
      <c r="Z44" s="1"/>
      <c r="AB44" s="1"/>
      <c r="AD44" s="1"/>
    </row>
    <row r="45" spans="1:30" x14ac:dyDescent="0.25">
      <c r="G45">
        <v>35</v>
      </c>
      <c r="H45" s="21">
        <v>44896</v>
      </c>
      <c r="I45" s="16">
        <f t="shared" si="16"/>
        <v>24578.248824618047</v>
      </c>
      <c r="J45" s="16">
        <f t="shared" si="4"/>
        <v>4915.6497649236098</v>
      </c>
      <c r="K45" s="16">
        <f t="shared" si="20"/>
        <v>72717.584508715285</v>
      </c>
      <c r="L45" s="16">
        <f t="shared" si="6"/>
        <v>14543.516901743058</v>
      </c>
      <c r="M45" s="26">
        <f t="shared" si="17"/>
        <v>116755</v>
      </c>
      <c r="N45" s="26">
        <f t="shared" si="7"/>
        <v>116952.22039850584</v>
      </c>
      <c r="O45" s="16">
        <f t="shared" si="21"/>
        <v>2337150.8834805908</v>
      </c>
      <c r="P45" s="16">
        <f t="shared" si="18"/>
        <v>19459.166666666668</v>
      </c>
      <c r="Q45" s="26">
        <f t="shared" si="19"/>
        <v>97295.833333333328</v>
      </c>
      <c r="R45" s="26">
        <f t="shared" si="10"/>
        <v>97493.053731839173</v>
      </c>
      <c r="S45" s="16">
        <f t="shared" si="11"/>
        <v>19459.166666666668</v>
      </c>
      <c r="T45" s="16">
        <f t="shared" si="12"/>
        <v>19498.610746367835</v>
      </c>
      <c r="U45" s="28">
        <f t="shared" si="13"/>
        <v>77836.666666666657</v>
      </c>
      <c r="V45" s="28">
        <f t="shared" si="14"/>
        <v>77994.442985471338</v>
      </c>
      <c r="W45" s="16">
        <f t="shared" si="22"/>
        <v>197.22039850584432</v>
      </c>
      <c r="X45" s="1"/>
      <c r="Y45" s="1"/>
      <c r="Z45" s="1"/>
      <c r="AB45" s="1"/>
      <c r="AD45" s="1"/>
    </row>
    <row r="46" spans="1:30" x14ac:dyDescent="0.25">
      <c r="G46">
        <v>36</v>
      </c>
      <c r="H46" s="21">
        <v>44927</v>
      </c>
      <c r="I46" s="16">
        <f t="shared" si="16"/>
        <v>25484.479062220671</v>
      </c>
      <c r="J46" s="16">
        <f>IF(G46&lt;=$D$14,I46*$D$21,0)</f>
        <v>5096.8958124441342</v>
      </c>
      <c r="K46" s="16">
        <f t="shared" si="20"/>
        <v>71811.354271112665</v>
      </c>
      <c r="L46" s="16">
        <f t="shared" si="6"/>
        <v>14362.270854222534</v>
      </c>
      <c r="M46" s="26">
        <f t="shared" si="17"/>
        <v>116755</v>
      </c>
      <c r="N46" s="26">
        <f t="shared" si="7"/>
        <v>116949.76257362339</v>
      </c>
      <c r="O46" s="16">
        <f t="shared" si="21"/>
        <v>2306569.5086059263</v>
      </c>
      <c r="P46" s="16">
        <f t="shared" si="18"/>
        <v>19459.166666666668</v>
      </c>
      <c r="Q46" s="26">
        <f t="shared" si="19"/>
        <v>97295.833333333328</v>
      </c>
      <c r="R46" s="26">
        <f t="shared" si="10"/>
        <v>97490.595906956718</v>
      </c>
      <c r="S46" s="16">
        <f t="shared" si="11"/>
        <v>19459.166666666668</v>
      </c>
      <c r="T46" s="16">
        <f t="shared" si="12"/>
        <v>19498.119181391343</v>
      </c>
      <c r="U46" s="28">
        <f>Q46-S46</f>
        <v>77836.666666666657</v>
      </c>
      <c r="V46" s="28">
        <f t="shared" si="14"/>
        <v>77992.476725565371</v>
      </c>
      <c r="W46" s="16">
        <f t="shared" si="22"/>
        <v>194.76257362338256</v>
      </c>
      <c r="X46" s="1"/>
      <c r="Y46" s="1"/>
      <c r="Z46" s="1"/>
      <c r="AB46" s="1"/>
      <c r="AD46" s="1"/>
    </row>
    <row r="47" spans="1:30" x14ac:dyDescent="0.25">
      <c r="G47">
        <v>37</v>
      </c>
      <c r="H47" s="21">
        <v>44958</v>
      </c>
      <c r="I47" s="16">
        <f t="shared" si="16"/>
        <v>26424.123122321616</v>
      </c>
      <c r="J47" s="16">
        <f t="shared" si="4"/>
        <v>5284.8246244643233</v>
      </c>
      <c r="K47" s="16">
        <f t="shared" si="20"/>
        <v>70871.710211011712</v>
      </c>
      <c r="L47" s="16">
        <f t="shared" si="6"/>
        <v>14174.342042202343</v>
      </c>
      <c r="M47" s="26">
        <f t="shared" si="17"/>
        <v>116755</v>
      </c>
      <c r="N47" s="26">
        <f t="shared" si="7"/>
        <v>116947.21412571716</v>
      </c>
      <c r="O47" s="16">
        <f t="shared" si="21"/>
        <v>2274860.5608591405</v>
      </c>
      <c r="P47" s="16">
        <f t="shared" si="18"/>
        <v>19459.166666666664</v>
      </c>
      <c r="Q47" s="26">
        <f t="shared" si="19"/>
        <v>97295.833333333343</v>
      </c>
      <c r="R47" s="26">
        <f t="shared" si="10"/>
        <v>97488.047459050504</v>
      </c>
      <c r="S47" s="16">
        <f t="shared" si="11"/>
        <v>19459.166666666668</v>
      </c>
      <c r="T47" s="16">
        <f t="shared" si="12"/>
        <v>19497.609491810101</v>
      </c>
      <c r="U47" s="28">
        <f t="shared" si="13"/>
        <v>77836.666666666672</v>
      </c>
      <c r="V47" s="28">
        <f t="shared" si="14"/>
        <v>77990.437967240403</v>
      </c>
      <c r="W47" s="16">
        <f t="shared" si="22"/>
        <v>192.21412571716053</v>
      </c>
      <c r="Y47" s="1"/>
      <c r="Z47" s="1"/>
    </row>
    <row r="48" spans="1:30" x14ac:dyDescent="0.25">
      <c r="G48">
        <v>38</v>
      </c>
      <c r="H48" s="21">
        <v>44986</v>
      </c>
      <c r="I48" s="16">
        <f t="shared" si="16"/>
        <v>27398.41301361761</v>
      </c>
      <c r="J48" s="16">
        <f t="shared" si="4"/>
        <v>5479.682602723522</v>
      </c>
      <c r="K48" s="16">
        <f t="shared" si="20"/>
        <v>69897.420319715719</v>
      </c>
      <c r="L48" s="16">
        <f t="shared" si="6"/>
        <v>13979.484063943144</v>
      </c>
      <c r="M48" s="26">
        <f t="shared" si="17"/>
        <v>116755</v>
      </c>
      <c r="N48" s="26">
        <f t="shared" si="7"/>
        <v>116944.57171340493</v>
      </c>
      <c r="O48" s="16">
        <f t="shared" si="21"/>
        <v>2241982.4652427994</v>
      </c>
      <c r="P48" s="16">
        <f t="shared" si="18"/>
        <v>19459.166666666664</v>
      </c>
      <c r="Q48" s="26">
        <f t="shared" si="19"/>
        <v>97295.833333333343</v>
      </c>
      <c r="R48" s="26">
        <f t="shared" si="10"/>
        <v>97485.405046738277</v>
      </c>
      <c r="S48" s="16">
        <f t="shared" si="11"/>
        <v>19459.166666666668</v>
      </c>
      <c r="T48" s="16">
        <f t="shared" si="12"/>
        <v>19497.081009347658</v>
      </c>
      <c r="U48" s="28">
        <f t="shared" si="13"/>
        <v>77836.666666666672</v>
      </c>
      <c r="V48" s="28">
        <f t="shared" si="14"/>
        <v>77988.324037390616</v>
      </c>
      <c r="W48" s="16">
        <f t="shared" si="22"/>
        <v>189.57171340492837</v>
      </c>
      <c r="Y48" s="1"/>
      <c r="Z48" s="1"/>
    </row>
    <row r="49" spans="7:26" x14ac:dyDescent="0.25">
      <c r="G49">
        <v>39</v>
      </c>
      <c r="H49" s="21">
        <v>45017</v>
      </c>
      <c r="I49" s="16">
        <f t="shared" si="16"/>
        <v>28408.626170479984</v>
      </c>
      <c r="J49" s="16">
        <f t="shared" si="4"/>
        <v>5681.7252340959967</v>
      </c>
      <c r="K49" s="16">
        <f t="shared" si="20"/>
        <v>68887.207162853345</v>
      </c>
      <c r="L49" s="16">
        <f t="shared" si="6"/>
        <v>13777.441432570669</v>
      </c>
      <c r="M49" s="26">
        <f t="shared" si="17"/>
        <v>116755</v>
      </c>
      <c r="N49" s="26">
        <f t="shared" si="7"/>
        <v>116941.83187210356</v>
      </c>
      <c r="O49" s="16">
        <f t="shared" si="21"/>
        <v>2207892.1138382233</v>
      </c>
      <c r="P49" s="16">
        <f t="shared" si="18"/>
        <v>19459.166666666664</v>
      </c>
      <c r="Q49" s="26">
        <f t="shared" si="19"/>
        <v>97295.833333333343</v>
      </c>
      <c r="R49" s="26">
        <f t="shared" si="10"/>
        <v>97482.665205436904</v>
      </c>
      <c r="S49" s="16">
        <f t="shared" si="11"/>
        <v>19459.166666666668</v>
      </c>
      <c r="T49" s="16">
        <f t="shared" si="12"/>
        <v>19496.533041087383</v>
      </c>
      <c r="U49" s="28">
        <f t="shared" si="13"/>
        <v>77836.666666666672</v>
      </c>
      <c r="V49" s="28">
        <f t="shared" si="14"/>
        <v>77986.132164349518</v>
      </c>
      <c r="W49" s="16">
        <f t="shared" si="22"/>
        <v>186.83187210356661</v>
      </c>
      <c r="Y49" s="1"/>
      <c r="Z49" s="1"/>
    </row>
    <row r="50" spans="7:26" x14ac:dyDescent="0.25">
      <c r="G50">
        <v>40</v>
      </c>
      <c r="H50" s="21">
        <v>45047</v>
      </c>
      <c r="I50" s="16">
        <f t="shared" si="16"/>
        <v>29456.087127855124</v>
      </c>
      <c r="J50" s="16">
        <f t="shared" si="4"/>
        <v>5891.2174255710252</v>
      </c>
      <c r="K50" s="16">
        <f t="shared" si="20"/>
        <v>67839.746205478208</v>
      </c>
      <c r="L50" s="16">
        <f t="shared" si="6"/>
        <v>13567.949241095643</v>
      </c>
      <c r="M50" s="26">
        <f t="shared" si="17"/>
        <v>116755</v>
      </c>
      <c r="N50" s="26">
        <f t="shared" si="7"/>
        <v>116938.99100948652</v>
      </c>
      <c r="O50" s="16">
        <f t="shared" si="21"/>
        <v>2172544.8092847974</v>
      </c>
      <c r="P50" s="16">
        <f t="shared" si="18"/>
        <v>19459.166666666668</v>
      </c>
      <c r="Q50" s="26">
        <f t="shared" si="19"/>
        <v>97295.833333333328</v>
      </c>
      <c r="R50" s="26">
        <f t="shared" si="10"/>
        <v>97479.824342819848</v>
      </c>
      <c r="S50" s="16">
        <f t="shared" si="11"/>
        <v>19459.166666666668</v>
      </c>
      <c r="T50" s="16">
        <f t="shared" si="12"/>
        <v>19495.96486856397</v>
      </c>
      <c r="U50" s="28">
        <f t="shared" si="13"/>
        <v>77836.666666666657</v>
      </c>
      <c r="V50" s="28">
        <f t="shared" si="14"/>
        <v>77983.859474255878</v>
      </c>
      <c r="W50" s="16">
        <f t="shared" si="22"/>
        <v>183.99100948651861</v>
      </c>
      <c r="Y50" s="1"/>
      <c r="Z50" s="1"/>
    </row>
    <row r="51" spans="7:26" x14ac:dyDescent="0.25">
      <c r="G51">
        <v>41</v>
      </c>
      <c r="H51" s="21">
        <v>45078</v>
      </c>
      <c r="I51" s="16">
        <f t="shared" si="16"/>
        <v>30542.169257920592</v>
      </c>
      <c r="J51" s="16">
        <f t="shared" si="4"/>
        <v>6108.4338515841191</v>
      </c>
      <c r="K51" s="16">
        <f t="shared" si="20"/>
        <v>66753.664075412744</v>
      </c>
      <c r="L51" s="16">
        <f t="shared" si="6"/>
        <v>13350.732815082549</v>
      </c>
      <c r="M51" s="26">
        <f t="shared" si="17"/>
        <v>116755</v>
      </c>
      <c r="N51" s="26">
        <f t="shared" si="7"/>
        <v>116936.04540077373</v>
      </c>
      <c r="O51" s="16">
        <f t="shared" si="21"/>
        <v>2135894.2061752924</v>
      </c>
      <c r="P51" s="16">
        <f t="shared" si="18"/>
        <v>19459.166666666668</v>
      </c>
      <c r="Q51" s="26">
        <f t="shared" si="19"/>
        <v>97295.833333333328</v>
      </c>
      <c r="R51" s="26">
        <f t="shared" si="10"/>
        <v>97476.878734107057</v>
      </c>
      <c r="S51" s="16">
        <f t="shared" si="11"/>
        <v>19459.166666666668</v>
      </c>
      <c r="T51" s="16">
        <f t="shared" si="12"/>
        <v>19495.375746821413</v>
      </c>
      <c r="U51" s="28">
        <f t="shared" si="13"/>
        <v>77836.666666666657</v>
      </c>
      <c r="V51" s="28">
        <f t="shared" si="14"/>
        <v>77981.502987285639</v>
      </c>
      <c r="W51" s="16">
        <f t="shared" si="22"/>
        <v>181.04540077373312</v>
      </c>
      <c r="Y51" s="1"/>
      <c r="Z51" s="1"/>
    </row>
    <row r="52" spans="7:26" x14ac:dyDescent="0.25">
      <c r="G52">
        <v>42</v>
      </c>
      <c r="H52" s="21">
        <v>45108</v>
      </c>
      <c r="I52" s="16">
        <f t="shared" si="16"/>
        <v>31668.296570773844</v>
      </c>
      <c r="J52" s="16">
        <f t="shared" si="4"/>
        <v>6333.6593141547692</v>
      </c>
      <c r="K52" s="16">
        <f t="shared" si="20"/>
        <v>65627.536762559495</v>
      </c>
      <c r="L52" s="16">
        <f t="shared" si="6"/>
        <v>13125.507352511901</v>
      </c>
      <c r="M52" s="26">
        <f t="shared" si="17"/>
        <v>116755</v>
      </c>
      <c r="N52" s="26">
        <f t="shared" si="7"/>
        <v>116932.99118384795</v>
      </c>
      <c r="O52" s="16">
        <f t="shared" si="21"/>
        <v>2097892.250290364</v>
      </c>
      <c r="P52" s="16">
        <f t="shared" si="18"/>
        <v>19459.166666666672</v>
      </c>
      <c r="Q52" s="26">
        <f t="shared" si="19"/>
        <v>97295.833333333328</v>
      </c>
      <c r="R52" s="26">
        <f t="shared" si="10"/>
        <v>97473.824517181274</v>
      </c>
      <c r="S52" s="16">
        <f t="shared" si="11"/>
        <v>19459.166666666668</v>
      </c>
      <c r="T52" s="16">
        <f t="shared" si="12"/>
        <v>19494.764903436255</v>
      </c>
      <c r="U52" s="28">
        <f t="shared" si="13"/>
        <v>77836.666666666657</v>
      </c>
      <c r="V52" s="28">
        <f t="shared" si="14"/>
        <v>77979.059613745019</v>
      </c>
      <c r="W52" s="16">
        <f t="shared" si="22"/>
        <v>177.99118384794102</v>
      </c>
      <c r="Y52" s="1"/>
      <c r="Z52" s="1"/>
    </row>
    <row r="53" spans="7:26" x14ac:dyDescent="0.25">
      <c r="G53">
        <v>43</v>
      </c>
      <c r="H53" s="21">
        <v>45139</v>
      </c>
      <c r="I53" s="16">
        <f t="shared" si="16"/>
        <v>32835.945581514512</v>
      </c>
      <c r="J53" s="16">
        <f t="shared" si="4"/>
        <v>6567.1891163029031</v>
      </c>
      <c r="K53" s="16">
        <f t="shared" si="20"/>
        <v>64459.887751818824</v>
      </c>
      <c r="L53" s="16">
        <f t="shared" si="6"/>
        <v>12891.977550363765</v>
      </c>
      <c r="M53" s="26">
        <f t="shared" si="17"/>
        <v>116755</v>
      </c>
      <c r="N53" s="26">
        <f t="shared" si="7"/>
        <v>116929.82435419086</v>
      </c>
      <c r="O53" s="16">
        <f t="shared" si="21"/>
        <v>2058489.1155925465</v>
      </c>
      <c r="P53" s="16">
        <f t="shared" si="18"/>
        <v>19459.166666666668</v>
      </c>
      <c r="Q53" s="26">
        <f t="shared" si="19"/>
        <v>97295.833333333328</v>
      </c>
      <c r="R53" s="26">
        <f t="shared" si="10"/>
        <v>97470.657687524188</v>
      </c>
      <c r="S53" s="16">
        <f t="shared" si="11"/>
        <v>19459.166666666668</v>
      </c>
      <c r="T53" s="16">
        <f t="shared" si="12"/>
        <v>19494.13153750484</v>
      </c>
      <c r="U53" s="28">
        <f t="shared" si="13"/>
        <v>77836.666666666657</v>
      </c>
      <c r="V53" s="28">
        <f t="shared" si="14"/>
        <v>77976.526150019345</v>
      </c>
      <c r="W53" s="16">
        <f t="shared" si="22"/>
        <v>174.82435419086366</v>
      </c>
      <c r="Y53" s="1"/>
      <c r="Z53" s="1"/>
    </row>
    <row r="54" spans="7:26" x14ac:dyDescent="0.25">
      <c r="G54">
        <v>44</v>
      </c>
      <c r="H54" s="21">
        <v>45170</v>
      </c>
      <c r="I54" s="16">
        <f t="shared" si="16"/>
        <v>34046.647246168424</v>
      </c>
      <c r="J54" s="16">
        <f t="shared" si="4"/>
        <v>6809.3294492336854</v>
      </c>
      <c r="K54" s="16">
        <f t="shared" si="20"/>
        <v>63249.186087164904</v>
      </c>
      <c r="L54" s="16">
        <f t="shared" si="6"/>
        <v>12649.837217432982</v>
      </c>
      <c r="M54" s="26">
        <f t="shared" si="17"/>
        <v>116755</v>
      </c>
      <c r="N54" s="26">
        <f t="shared" si="7"/>
        <v>116926.54075963271</v>
      </c>
      <c r="O54" s="16">
        <f t="shared" si="21"/>
        <v>2017633.1388971445</v>
      </c>
      <c r="P54" s="16">
        <f t="shared" si="18"/>
        <v>19459.166666666668</v>
      </c>
      <c r="Q54" s="26">
        <f t="shared" si="19"/>
        <v>97295.833333333328</v>
      </c>
      <c r="R54" s="26">
        <f t="shared" si="10"/>
        <v>97467.374092966042</v>
      </c>
      <c r="S54" s="16">
        <f t="shared" si="11"/>
        <v>19459.166666666668</v>
      </c>
      <c r="T54" s="16">
        <f t="shared" si="12"/>
        <v>19493.474818593208</v>
      </c>
      <c r="U54" s="28">
        <f t="shared" si="13"/>
        <v>77836.666666666657</v>
      </c>
      <c r="V54" s="28">
        <f t="shared" si="14"/>
        <v>77973.89927437283</v>
      </c>
      <c r="W54" s="16">
        <f t="shared" si="22"/>
        <v>171.5407596327122</v>
      </c>
      <c r="Y54" s="1"/>
      <c r="Z54" s="1"/>
    </row>
    <row r="55" spans="7:26" x14ac:dyDescent="0.25">
      <c r="G55">
        <v>45</v>
      </c>
      <c r="H55" s="21">
        <v>45200</v>
      </c>
      <c r="I55" s="16">
        <f t="shared" si="16"/>
        <v>35301.988968991434</v>
      </c>
      <c r="J55" s="16">
        <f t="shared" si="4"/>
        <v>7060.3977937982872</v>
      </c>
      <c r="K55" s="16">
        <f t="shared" si="20"/>
        <v>61993.844364341894</v>
      </c>
      <c r="L55" s="16">
        <f t="shared" si="6"/>
        <v>12398.768872868379</v>
      </c>
      <c r="M55" s="26">
        <f t="shared" si="17"/>
        <v>116755</v>
      </c>
      <c r="N55" s="26">
        <f t="shared" si="7"/>
        <v>116923.1360949081</v>
      </c>
      <c r="O55" s="16">
        <f t="shared" si="21"/>
        <v>1975270.7521343548</v>
      </c>
      <c r="P55" s="16">
        <f t="shared" si="18"/>
        <v>19459.166666666664</v>
      </c>
      <c r="Q55" s="26">
        <f t="shared" si="19"/>
        <v>97295.833333333343</v>
      </c>
      <c r="R55" s="26">
        <f t="shared" si="10"/>
        <v>97463.969428241442</v>
      </c>
      <c r="S55" s="16">
        <f t="shared" si="11"/>
        <v>19459.166666666668</v>
      </c>
      <c r="T55" s="16">
        <f t="shared" si="12"/>
        <v>19492.793885648291</v>
      </c>
      <c r="U55" s="28">
        <f t="shared" si="13"/>
        <v>77836.666666666672</v>
      </c>
      <c r="V55" s="28">
        <f t="shared" si="14"/>
        <v>77971.175542593148</v>
      </c>
      <c r="W55" s="16">
        <f t="shared" si="22"/>
        <v>168.13609490809537</v>
      </c>
      <c r="Y55" s="1"/>
      <c r="Z55" s="1"/>
    </row>
    <row r="56" spans="7:26" x14ac:dyDescent="0.25">
      <c r="G56">
        <v>46</v>
      </c>
      <c r="H56" s="21">
        <v>45231</v>
      </c>
      <c r="I56" s="16">
        <f t="shared" si="16"/>
        <v>36603.616683784996</v>
      </c>
      <c r="J56" s="16">
        <f t="shared" si="4"/>
        <v>7320.7233367569997</v>
      </c>
      <c r="K56" s="16">
        <f t="shared" si="20"/>
        <v>60692.21664954834</v>
      </c>
      <c r="L56" s="16">
        <f t="shared" si="6"/>
        <v>12138.443329909669</v>
      </c>
      <c r="M56" s="26">
        <f t="shared" si="17"/>
        <v>116755</v>
      </c>
      <c r="N56" s="26">
        <f t="shared" si="7"/>
        <v>116919.6058960112</v>
      </c>
      <c r="O56" s="16">
        <f t="shared" si="21"/>
        <v>1931346.4121138128</v>
      </c>
      <c r="P56" s="16">
        <f t="shared" si="18"/>
        <v>19459.166666666668</v>
      </c>
      <c r="Q56" s="26">
        <f t="shared" si="19"/>
        <v>97295.833333333328</v>
      </c>
      <c r="R56" s="26">
        <f t="shared" si="10"/>
        <v>97460.439229344527</v>
      </c>
      <c r="S56" s="16">
        <f t="shared" si="11"/>
        <v>19459.166666666668</v>
      </c>
      <c r="T56" s="16">
        <f t="shared" si="12"/>
        <v>19492.087845868908</v>
      </c>
      <c r="U56" s="28">
        <f t="shared" si="13"/>
        <v>77836.666666666657</v>
      </c>
      <c r="V56" s="28">
        <f t="shared" si="14"/>
        <v>77968.351383475616</v>
      </c>
      <c r="W56" s="16">
        <f t="shared" si="22"/>
        <v>164.60589601119622</v>
      </c>
      <c r="Y56" s="1"/>
      <c r="Z56" s="1"/>
    </row>
    <row r="57" spans="7:26" x14ac:dyDescent="0.25">
      <c r="G57">
        <v>47</v>
      </c>
      <c r="H57" s="21">
        <v>45261</v>
      </c>
      <c r="I57" s="16">
        <f t="shared" si="16"/>
        <v>37953.237011952471</v>
      </c>
      <c r="J57" s="16">
        <f t="shared" si="4"/>
        <v>7590.6474023904948</v>
      </c>
      <c r="K57" s="16">
        <f t="shared" si="20"/>
        <v>59342.596321380872</v>
      </c>
      <c r="L57" s="16">
        <f t="shared" si="6"/>
        <v>11868.519264276176</v>
      </c>
      <c r="M57" s="26">
        <f t="shared" si="17"/>
        <v>116755</v>
      </c>
      <c r="N57" s="26">
        <f t="shared" si="7"/>
        <v>116915.94553434281</v>
      </c>
      <c r="O57" s="16">
        <f t="shared" si="21"/>
        <v>1885802.5276994696</v>
      </c>
      <c r="P57" s="16">
        <f t="shared" si="18"/>
        <v>19459.166666666672</v>
      </c>
      <c r="Q57" s="26">
        <f t="shared" si="19"/>
        <v>97295.833333333328</v>
      </c>
      <c r="R57" s="26">
        <f t="shared" si="10"/>
        <v>97456.778867676141</v>
      </c>
      <c r="S57" s="16">
        <f t="shared" si="11"/>
        <v>19459.166666666668</v>
      </c>
      <c r="T57" s="16">
        <f t="shared" si="12"/>
        <v>19491.35577353523</v>
      </c>
      <c r="U57" s="28">
        <f t="shared" si="13"/>
        <v>77836.666666666657</v>
      </c>
      <c r="V57" s="28">
        <f t="shared" si="14"/>
        <v>77965.423094140919</v>
      </c>
      <c r="W57" s="16">
        <f t="shared" si="22"/>
        <v>160.94553434281772</v>
      </c>
      <c r="Y57" s="1"/>
      <c r="Z57" s="1"/>
    </row>
    <row r="58" spans="7:26" x14ac:dyDescent="0.25">
      <c r="G58">
        <v>48</v>
      </c>
      <c r="H58" s="21">
        <v>45292</v>
      </c>
      <c r="I58" s="16">
        <f t="shared" si="16"/>
        <v>39352.619500125555</v>
      </c>
      <c r="J58" s="16">
        <f t="shared" si="4"/>
        <v>7870.5239000251113</v>
      </c>
      <c r="K58" s="16">
        <f t="shared" si="20"/>
        <v>57943.213833207781</v>
      </c>
      <c r="L58" s="16">
        <f t="shared" si="6"/>
        <v>11588.642766641557</v>
      </c>
      <c r="M58" s="26">
        <f t="shared" si="17"/>
        <v>116755</v>
      </c>
      <c r="N58" s="26">
        <f t="shared" si="7"/>
        <v>116912.15021064162</v>
      </c>
      <c r="O58" s="16">
        <f t="shared" si="21"/>
        <v>1838579.384299319</v>
      </c>
      <c r="P58" s="16">
        <f t="shared" si="18"/>
        <v>19459.166666666668</v>
      </c>
      <c r="Q58" s="26">
        <f t="shared" si="19"/>
        <v>97295.833333333328</v>
      </c>
      <c r="R58" s="26">
        <f t="shared" si="10"/>
        <v>97452.983543974944</v>
      </c>
      <c r="S58" s="16">
        <f t="shared" si="11"/>
        <v>19459.166666666668</v>
      </c>
      <c r="T58" s="16">
        <f t="shared" si="12"/>
        <v>19490.59670879499</v>
      </c>
      <c r="U58" s="28">
        <f t="shared" si="13"/>
        <v>77836.666666666657</v>
      </c>
      <c r="V58" s="28">
        <f t="shared" si="14"/>
        <v>77962.386835179961</v>
      </c>
      <c r="W58" s="16">
        <f t="shared" si="22"/>
        <v>157.15021064162246</v>
      </c>
      <c r="Y58" s="1"/>
      <c r="Z58" s="1"/>
    </row>
    <row r="59" spans="7:26" x14ac:dyDescent="0.25">
      <c r="G59">
        <v>49</v>
      </c>
      <c r="H59" s="21">
        <v>45323</v>
      </c>
      <c r="I59" s="16">
        <f t="shared" si="16"/>
        <v>40803.598940294818</v>
      </c>
      <c r="J59" s="16">
        <f t="shared" si="4"/>
        <v>8160.7197880589638</v>
      </c>
      <c r="K59" s="16">
        <f t="shared" si="20"/>
        <v>56492.234393038518</v>
      </c>
      <c r="L59" s="16">
        <f t="shared" si="6"/>
        <v>11298.446878607705</v>
      </c>
      <c r="M59" s="26">
        <f t="shared" si="17"/>
        <v>116755</v>
      </c>
      <c r="N59" s="26">
        <f t="shared" si="7"/>
        <v>116908.21494869162</v>
      </c>
      <c r="O59" s="16">
        <f t="shared" si="21"/>
        <v>1789615.0655709652</v>
      </c>
      <c r="P59" s="16">
        <f t="shared" si="18"/>
        <v>19459.166666666668</v>
      </c>
      <c r="Q59" s="26">
        <f t="shared" si="19"/>
        <v>97295.833333333328</v>
      </c>
      <c r="R59" s="26">
        <f t="shared" si="10"/>
        <v>97449.048282024945</v>
      </c>
      <c r="S59" s="16">
        <f t="shared" si="11"/>
        <v>19459.166666666668</v>
      </c>
      <c r="T59" s="16">
        <f t="shared" si="12"/>
        <v>19489.809656404988</v>
      </c>
      <c r="U59" s="28">
        <f t="shared" si="13"/>
        <v>77836.666666666657</v>
      </c>
      <c r="V59" s="28">
        <f t="shared" si="14"/>
        <v>77959.238625619953</v>
      </c>
      <c r="W59" s="16">
        <f t="shared" si="22"/>
        <v>153.21494869160992</v>
      </c>
      <c r="Y59" s="1"/>
    </row>
    <row r="60" spans="7:26" x14ac:dyDescent="0.25">
      <c r="G60">
        <v>50</v>
      </c>
      <c r="H60" s="21">
        <v>45352</v>
      </c>
      <c r="I60" s="16">
        <f t="shared" si="16"/>
        <v>42308.077775486236</v>
      </c>
      <c r="J60" s="16">
        <f t="shared" si="4"/>
        <v>8461.6155550972471</v>
      </c>
      <c r="K60" s="16">
        <f t="shared" si="20"/>
        <v>54987.755557847093</v>
      </c>
      <c r="L60" s="16">
        <f t="shared" si="6"/>
        <v>10997.551111569419</v>
      </c>
      <c r="M60" s="26">
        <f t="shared" si="17"/>
        <v>116755</v>
      </c>
      <c r="N60" s="26">
        <f t="shared" si="7"/>
        <v>116904.13458879758</v>
      </c>
      <c r="O60" s="16">
        <f t="shared" si="21"/>
        <v>1738845.3722403815</v>
      </c>
      <c r="P60" s="16">
        <f t="shared" si="18"/>
        <v>19459.166666666664</v>
      </c>
      <c r="Q60" s="26">
        <f t="shared" si="19"/>
        <v>97295.833333333343</v>
      </c>
      <c r="R60" s="26">
        <f t="shared" si="10"/>
        <v>97444.96792213092</v>
      </c>
      <c r="S60" s="16">
        <f t="shared" si="11"/>
        <v>19459.166666666668</v>
      </c>
      <c r="T60" s="16">
        <f t="shared" si="12"/>
        <v>19488.993584426185</v>
      </c>
      <c r="U60" s="28">
        <f t="shared" si="13"/>
        <v>77836.666666666672</v>
      </c>
      <c r="V60" s="28">
        <f t="shared" si="14"/>
        <v>77955.974337704742</v>
      </c>
      <c r="W60" s="16">
        <f t="shared" si="22"/>
        <v>149.13458879758042</v>
      </c>
      <c r="Y60" s="1"/>
    </row>
    <row r="61" spans="7:26" x14ac:dyDescent="0.25">
      <c r="G61">
        <v>51</v>
      </c>
      <c r="H61" s="21">
        <v>45383</v>
      </c>
      <c r="I61" s="16">
        <f t="shared" si="16"/>
        <v>43868.028594138035</v>
      </c>
      <c r="J61" s="16">
        <f t="shared" si="4"/>
        <v>8773.6057188276081</v>
      </c>
      <c r="K61" s="16">
        <f t="shared" si="20"/>
        <v>53427.804739195308</v>
      </c>
      <c r="L61" s="16">
        <f t="shared" si="6"/>
        <v>10685.560947839062</v>
      </c>
      <c r="M61" s="26">
        <f t="shared" si="17"/>
        <v>116755</v>
      </c>
      <c r="N61" s="26">
        <f t="shared" si="7"/>
        <v>116899.90378102004</v>
      </c>
      <c r="O61" s="16">
        <f t="shared" si="21"/>
        <v>1686203.7379274159</v>
      </c>
      <c r="P61" s="16">
        <f t="shared" si="18"/>
        <v>19459.166666666672</v>
      </c>
      <c r="Q61" s="26">
        <f t="shared" si="19"/>
        <v>97295.833333333328</v>
      </c>
      <c r="R61" s="26">
        <f t="shared" si="10"/>
        <v>97440.737114353367</v>
      </c>
      <c r="S61" s="16">
        <f t="shared" si="11"/>
        <v>19459.166666666668</v>
      </c>
      <c r="T61" s="16">
        <f t="shared" si="12"/>
        <v>19488.147422870676</v>
      </c>
      <c r="U61" s="28">
        <f t="shared" si="13"/>
        <v>77836.666666666657</v>
      </c>
      <c r="V61" s="28">
        <f t="shared" si="14"/>
        <v>77952.589691482688</v>
      </c>
      <c r="W61" s="16">
        <f t="shared" si="22"/>
        <v>144.9037810200318</v>
      </c>
      <c r="Y61" s="1"/>
    </row>
    <row r="62" spans="7:26" x14ac:dyDescent="0.25">
      <c r="G62">
        <v>52</v>
      </c>
      <c r="H62" s="21">
        <v>45413</v>
      </c>
      <c r="I62" s="16">
        <f t="shared" si="16"/>
        <v>45485.496716448135</v>
      </c>
      <c r="J62" s="16">
        <f t="shared" si="4"/>
        <v>9097.0993432896266</v>
      </c>
      <c r="K62" s="16">
        <f t="shared" si="20"/>
        <v>51810.336616885208</v>
      </c>
      <c r="L62" s="16">
        <f t="shared" si="6"/>
        <v>10362.067323377043</v>
      </c>
      <c r="M62" s="26">
        <f t="shared" si="17"/>
        <v>116755</v>
      </c>
      <c r="N62" s="26">
        <f t="shared" si="7"/>
        <v>116895.51697816062</v>
      </c>
      <c r="O62" s="16">
        <f t="shared" si="21"/>
        <v>1631621.1418676781</v>
      </c>
      <c r="P62" s="16">
        <f t="shared" si="18"/>
        <v>19459.166666666672</v>
      </c>
      <c r="Q62" s="26">
        <f t="shared" si="19"/>
        <v>97295.833333333328</v>
      </c>
      <c r="R62" s="26">
        <f t="shared" si="10"/>
        <v>97436.350311493952</v>
      </c>
      <c r="S62" s="16">
        <f t="shared" si="11"/>
        <v>19459.166666666668</v>
      </c>
      <c r="T62" s="16">
        <f t="shared" si="12"/>
        <v>19487.27006229879</v>
      </c>
      <c r="U62" s="28">
        <f t="shared" si="13"/>
        <v>77836.666666666657</v>
      </c>
      <c r="V62" s="28">
        <f t="shared" si="14"/>
        <v>77949.080249195162</v>
      </c>
      <c r="W62" s="16">
        <f t="shared" si="22"/>
        <v>140.51697816061798</v>
      </c>
      <c r="Y62" s="1"/>
    </row>
    <row r="63" spans="7:26" x14ac:dyDescent="0.25">
      <c r="G63">
        <v>53</v>
      </c>
      <c r="H63" s="21">
        <v>45444</v>
      </c>
      <c r="I63" s="16">
        <f t="shared" si="16"/>
        <v>47162.602876083627</v>
      </c>
      <c r="J63" s="16">
        <f t="shared" si="4"/>
        <v>9432.5205752167258</v>
      </c>
      <c r="K63" s="16">
        <f t="shared" si="20"/>
        <v>50133.230457249701</v>
      </c>
      <c r="L63" s="16">
        <f t="shared" si="6"/>
        <v>10026.64609144994</v>
      </c>
      <c r="M63" s="26">
        <f t="shared" si="17"/>
        <v>116755</v>
      </c>
      <c r="N63" s="26">
        <f t="shared" si="7"/>
        <v>116890.96842848897</v>
      </c>
      <c r="O63" s="16">
        <f t="shared" si="21"/>
        <v>1575026.0184163777</v>
      </c>
      <c r="P63" s="16">
        <f t="shared" si="18"/>
        <v>19459.166666666664</v>
      </c>
      <c r="Q63" s="26">
        <f t="shared" si="19"/>
        <v>97295.833333333343</v>
      </c>
      <c r="R63" s="26">
        <f t="shared" si="10"/>
        <v>97431.801761822309</v>
      </c>
      <c r="S63" s="16">
        <f t="shared" si="11"/>
        <v>19459.166666666668</v>
      </c>
      <c r="T63" s="16">
        <f t="shared" si="12"/>
        <v>19486.360352364463</v>
      </c>
      <c r="U63" s="28">
        <f t="shared" si="13"/>
        <v>77836.666666666672</v>
      </c>
      <c r="V63" s="28">
        <f t="shared" si="14"/>
        <v>77945.441409457853</v>
      </c>
      <c r="W63" s="16">
        <f t="shared" si="22"/>
        <v>135.96842848897319</v>
      </c>
      <c r="Y63" s="1"/>
    </row>
    <row r="64" spans="7:26" x14ac:dyDescent="0.25">
      <c r="G64">
        <v>54</v>
      </c>
      <c r="H64" s="21">
        <v>45474</v>
      </c>
      <c r="I64" s="16">
        <f t="shared" si="16"/>
        <v>48901.546000768052</v>
      </c>
      <c r="J64" s="16">
        <f t="shared" si="4"/>
        <v>9780.3092001536115</v>
      </c>
      <c r="K64" s="16">
        <f t="shared" si="20"/>
        <v>48394.287332565284</v>
      </c>
      <c r="L64" s="16">
        <f t="shared" si="6"/>
        <v>9678.8574665130564</v>
      </c>
      <c r="M64" s="26">
        <f t="shared" si="17"/>
        <v>116755</v>
      </c>
      <c r="N64" s="26">
        <f t="shared" si="7"/>
        <v>116886.25216820136</v>
      </c>
      <c r="O64" s="16">
        <f t="shared" si="21"/>
        <v>1516344.1632154561</v>
      </c>
      <c r="P64" s="16">
        <f t="shared" si="18"/>
        <v>19459.166666666668</v>
      </c>
      <c r="Q64" s="26">
        <f t="shared" si="19"/>
        <v>97295.833333333328</v>
      </c>
      <c r="R64" s="26">
        <f t="shared" si="10"/>
        <v>97427.08550153469</v>
      </c>
      <c r="S64" s="16">
        <f t="shared" si="11"/>
        <v>19459.166666666668</v>
      </c>
      <c r="T64" s="16">
        <f t="shared" si="12"/>
        <v>19485.417100306939</v>
      </c>
      <c r="U64" s="28">
        <f t="shared" si="13"/>
        <v>77836.666666666657</v>
      </c>
      <c r="V64" s="28">
        <f t="shared" si="14"/>
        <v>77941.668401227755</v>
      </c>
      <c r="W64" s="16">
        <f t="shared" si="22"/>
        <v>131.25216820136481</v>
      </c>
      <c r="Y64" s="1"/>
    </row>
    <row r="65" spans="7:25" x14ac:dyDescent="0.25">
      <c r="G65">
        <v>55</v>
      </c>
      <c r="H65" s="21">
        <v>45505</v>
      </c>
      <c r="I65" s="16">
        <f t="shared" si="16"/>
        <v>50704.60609539225</v>
      </c>
      <c r="J65" s="16">
        <f t="shared" si="4"/>
        <v>10140.921219078451</v>
      </c>
      <c r="K65" s="16">
        <f t="shared" si="20"/>
        <v>46591.227237941093</v>
      </c>
      <c r="L65" s="16">
        <f t="shared" si="6"/>
        <v>9318.2454475882187</v>
      </c>
      <c r="M65" s="26">
        <f t="shared" si="17"/>
        <v>116755</v>
      </c>
      <c r="N65" s="26">
        <f t="shared" si="7"/>
        <v>116881.36201360129</v>
      </c>
      <c r="O65" s="16">
        <f t="shared" si="21"/>
        <v>1455498.6359009854</v>
      </c>
      <c r="P65" s="16">
        <f t="shared" si="18"/>
        <v>19459.166666666672</v>
      </c>
      <c r="Q65" s="26">
        <f t="shared" si="19"/>
        <v>97295.833333333328</v>
      </c>
      <c r="R65" s="26">
        <f t="shared" si="10"/>
        <v>97422.195346934619</v>
      </c>
      <c r="S65" s="16">
        <f t="shared" si="11"/>
        <v>19459.166666666668</v>
      </c>
      <c r="T65" s="16">
        <f t="shared" si="12"/>
        <v>19484.439069386925</v>
      </c>
      <c r="U65" s="28">
        <f t="shared" si="13"/>
        <v>77836.666666666657</v>
      </c>
      <c r="V65" s="28">
        <f t="shared" si="14"/>
        <v>77937.756277547698</v>
      </c>
      <c r="W65" s="16">
        <f t="shared" si="22"/>
        <v>126.362013601288</v>
      </c>
      <c r="Y65" s="1"/>
    </row>
    <row r="66" spans="7:25" x14ac:dyDescent="0.25">
      <c r="G66">
        <v>56</v>
      </c>
      <c r="H66" s="21">
        <v>45536</v>
      </c>
      <c r="I66" s="16">
        <f t="shared" si="16"/>
        <v>52574.147231429211</v>
      </c>
      <c r="J66" s="16">
        <f t="shared" si="4"/>
        <v>10514.829446285843</v>
      </c>
      <c r="K66" s="16">
        <f t="shared" si="20"/>
        <v>44721.686101904124</v>
      </c>
      <c r="L66" s="16">
        <f t="shared" si="6"/>
        <v>8944.3372203808249</v>
      </c>
      <c r="M66" s="26">
        <f t="shared" si="17"/>
        <v>116755</v>
      </c>
      <c r="N66" s="26">
        <f t="shared" si="7"/>
        <v>116876.29155299175</v>
      </c>
      <c r="O66" s="16">
        <f t="shared" si="21"/>
        <v>1392409.6592232706</v>
      </c>
      <c r="P66" s="16">
        <f t="shared" si="18"/>
        <v>19459.166666666668</v>
      </c>
      <c r="Q66" s="26">
        <f t="shared" si="19"/>
        <v>97295.833333333328</v>
      </c>
      <c r="R66" s="26">
        <f t="shared" si="10"/>
        <v>97417.12488632508</v>
      </c>
      <c r="S66" s="16">
        <f t="shared" si="11"/>
        <v>19459.166666666668</v>
      </c>
      <c r="T66" s="16">
        <f t="shared" si="12"/>
        <v>19483.424977265018</v>
      </c>
      <c r="U66" s="28">
        <f t="shared" si="13"/>
        <v>77836.666666666657</v>
      </c>
      <c r="V66" s="28">
        <f t="shared" si="14"/>
        <v>77933.699909060058</v>
      </c>
      <c r="W66" s="16">
        <f t="shared" si="22"/>
        <v>121.29155299174879</v>
      </c>
      <c r="Y66" s="1"/>
    </row>
    <row r="67" spans="7:25" x14ac:dyDescent="0.25">
      <c r="G67">
        <v>57</v>
      </c>
      <c r="H67" s="21">
        <v>45566</v>
      </c>
      <c r="I67" s="16">
        <f t="shared" si="16"/>
        <v>54512.620646572315</v>
      </c>
      <c r="J67" s="16">
        <f t="shared" si="4"/>
        <v>10902.524129314465</v>
      </c>
      <c r="K67" s="16">
        <f t="shared" si="20"/>
        <v>42783.21268676102</v>
      </c>
      <c r="L67" s="16">
        <f t="shared" si="6"/>
        <v>8556.6425373522052</v>
      </c>
      <c r="M67" s="26">
        <f t="shared" si="17"/>
        <v>116755</v>
      </c>
      <c r="N67" s="26">
        <f t="shared" si="7"/>
        <v>116871.0341382686</v>
      </c>
      <c r="O67" s="16">
        <f t="shared" si="21"/>
        <v>1326994.514447384</v>
      </c>
      <c r="P67" s="16">
        <f t="shared" si="18"/>
        <v>19459.166666666672</v>
      </c>
      <c r="Q67" s="26">
        <f t="shared" si="19"/>
        <v>97295.833333333328</v>
      </c>
      <c r="R67" s="26">
        <f t="shared" si="10"/>
        <v>97411.86747160193</v>
      </c>
      <c r="S67" s="16">
        <f t="shared" si="11"/>
        <v>19459.166666666668</v>
      </c>
      <c r="T67" s="16">
        <f t="shared" si="12"/>
        <v>19482.373494320385</v>
      </c>
      <c r="U67" s="28">
        <f t="shared" si="13"/>
        <v>77836.666666666657</v>
      </c>
      <c r="V67" s="28">
        <f t="shared" si="14"/>
        <v>77929.493977281541</v>
      </c>
      <c r="W67" s="16">
        <f t="shared" si="22"/>
        <v>116.03413826860589</v>
      </c>
      <c r="Y67" s="1"/>
    </row>
    <row r="68" spans="7:25" x14ac:dyDescent="0.25">
      <c r="G68">
        <v>58</v>
      </c>
      <c r="H68" s="21">
        <v>45597</v>
      </c>
      <c r="I68" s="16">
        <f t="shared" si="16"/>
        <v>56522.567958660926</v>
      </c>
      <c r="J68" s="16">
        <f t="shared" si="4"/>
        <v>11304.513591732186</v>
      </c>
      <c r="K68" s="16">
        <f t="shared" si="20"/>
        <v>40773.265374672417</v>
      </c>
      <c r="L68" s="16">
        <f t="shared" si="6"/>
        <v>8154.6530749344838</v>
      </c>
      <c r="M68" s="26">
        <f t="shared" si="17"/>
        <v>116755</v>
      </c>
      <c r="N68" s="26">
        <f t="shared" si="7"/>
        <v>116865.58287620395</v>
      </c>
      <c r="O68" s="16">
        <f t="shared" si="21"/>
        <v>1259167.432896991</v>
      </c>
      <c r="P68" s="16">
        <f t="shared" si="18"/>
        <v>19459.166666666672</v>
      </c>
      <c r="Q68" s="26">
        <f t="shared" si="19"/>
        <v>97295.833333333328</v>
      </c>
      <c r="R68" s="26">
        <f t="shared" si="10"/>
        <v>97406.416209537274</v>
      </c>
      <c r="S68" s="16">
        <f t="shared" si="11"/>
        <v>19459.166666666668</v>
      </c>
      <c r="T68" s="16">
        <f t="shared" si="12"/>
        <v>19481.283241907455</v>
      </c>
      <c r="U68" s="28">
        <f t="shared" si="13"/>
        <v>77836.666666666657</v>
      </c>
      <c r="V68" s="28">
        <f t="shared" si="14"/>
        <v>77925.132967629819</v>
      </c>
      <c r="W68" s="16">
        <f t="shared" si="22"/>
        <v>110.58287620394867</v>
      </c>
      <c r="Y68" s="1"/>
    </row>
    <row r="69" spans="7:25" x14ac:dyDescent="0.25">
      <c r="G69">
        <v>59</v>
      </c>
      <c r="H69" s="21">
        <v>45627</v>
      </c>
      <c r="I69" s="16">
        <f t="shared" si="16"/>
        <v>58606.624498107441</v>
      </c>
      <c r="J69" s="16">
        <f t="shared" si="4"/>
        <v>11721.32489962149</v>
      </c>
      <c r="K69" s="16">
        <f t="shared" si="20"/>
        <v>38689.208835225902</v>
      </c>
      <c r="L69" s="16">
        <f t="shared" si="6"/>
        <v>7737.8417670451809</v>
      </c>
      <c r="M69" s="26">
        <f t="shared" si="17"/>
        <v>116755</v>
      </c>
      <c r="N69" s="26">
        <f t="shared" si="7"/>
        <v>116859.93061940809</v>
      </c>
      <c r="O69" s="16">
        <f t="shared" si="21"/>
        <v>1188839.483499262</v>
      </c>
      <c r="P69" s="16">
        <f t="shared" si="18"/>
        <v>19459.166666666672</v>
      </c>
      <c r="Q69" s="26">
        <f t="shared" si="19"/>
        <v>97295.833333333328</v>
      </c>
      <c r="R69" s="26">
        <f t="shared" si="10"/>
        <v>97400.763952741414</v>
      </c>
      <c r="S69" s="16">
        <f t="shared" si="11"/>
        <v>19459.166666666668</v>
      </c>
      <c r="T69" s="16">
        <f t="shared" si="12"/>
        <v>19480.152790548284</v>
      </c>
      <c r="U69" s="28">
        <f t="shared" si="13"/>
        <v>77836.666666666657</v>
      </c>
      <c r="V69" s="28">
        <f t="shared" si="14"/>
        <v>77920.611162193134</v>
      </c>
      <c r="W69" s="16">
        <f t="shared" si="22"/>
        <v>104.93061940808258</v>
      </c>
      <c r="Y69" s="1"/>
    </row>
    <row r="70" spans="7:25" x14ac:dyDescent="0.25">
      <c r="G70">
        <v>60</v>
      </c>
      <c r="H70" s="21">
        <v>45658</v>
      </c>
      <c r="I70" s="16">
        <f t="shared" si="16"/>
        <v>60767.522763195047</v>
      </c>
      <c r="J70" s="16">
        <f t="shared" si="4"/>
        <v>12153.504552639009</v>
      </c>
      <c r="K70" s="16">
        <f t="shared" si="20"/>
        <v>36528.310570138288</v>
      </c>
      <c r="L70" s="16">
        <f t="shared" si="6"/>
        <v>7305.6621140276584</v>
      </c>
      <c r="M70" s="26">
        <f t="shared" si="17"/>
        <v>116755</v>
      </c>
      <c r="N70" s="26">
        <f t="shared" si="7"/>
        <v>116854.06995695826</v>
      </c>
      <c r="O70" s="16">
        <f t="shared" si="21"/>
        <v>1115918.4561834279</v>
      </c>
      <c r="P70" s="16">
        <f t="shared" si="18"/>
        <v>19459.166666666668</v>
      </c>
      <c r="Q70" s="26">
        <f t="shared" si="19"/>
        <v>97295.833333333328</v>
      </c>
      <c r="R70" s="26">
        <f t="shared" si="10"/>
        <v>97394.903290291593</v>
      </c>
      <c r="S70" s="16">
        <f t="shared" si="11"/>
        <v>19459.166666666668</v>
      </c>
      <c r="T70" s="16">
        <f t="shared" si="12"/>
        <v>19478.980658058321</v>
      </c>
      <c r="U70" s="28">
        <f t="shared" si="13"/>
        <v>77836.666666666657</v>
      </c>
      <c r="V70" s="28">
        <f t="shared" si="14"/>
        <v>77915.922632233269</v>
      </c>
      <c r="W70" s="16">
        <f t="shared" si="22"/>
        <v>99.069956958271831</v>
      </c>
      <c r="Y70" s="1"/>
    </row>
    <row r="71" spans="7:25" x14ac:dyDescent="0.25">
      <c r="G71">
        <v>61</v>
      </c>
      <c r="H71" s="21">
        <v>45689</v>
      </c>
      <c r="I71" s="16">
        <f t="shared" si="16"/>
        <v>63008.09600277654</v>
      </c>
      <c r="J71" s="16">
        <f t="shared" si="4"/>
        <v>12601.619200555309</v>
      </c>
      <c r="K71" s="16">
        <f t="shared" si="20"/>
        <v>34287.737330556796</v>
      </c>
      <c r="L71" s="16">
        <f t="shared" si="6"/>
        <v>6857.5474661113594</v>
      </c>
      <c r="M71" s="26">
        <f t="shared" si="17"/>
        <v>116755</v>
      </c>
      <c r="N71" s="26">
        <f t="shared" si="7"/>
        <v>116847.99320468196</v>
      </c>
      <c r="O71" s="16">
        <f t="shared" si="21"/>
        <v>1040308.740980096</v>
      </c>
      <c r="P71" s="16">
        <f t="shared" si="18"/>
        <v>19459.166666666668</v>
      </c>
      <c r="Q71" s="26">
        <f t="shared" si="19"/>
        <v>97295.833333333328</v>
      </c>
      <c r="R71" s="26">
        <f t="shared" si="10"/>
        <v>97388.826538015288</v>
      </c>
      <c r="S71" s="16">
        <f t="shared" si="11"/>
        <v>19459.166666666668</v>
      </c>
      <c r="T71" s="16">
        <f t="shared" si="12"/>
        <v>19477.765307603058</v>
      </c>
      <c r="U71" s="28">
        <f t="shared" si="13"/>
        <v>77836.666666666657</v>
      </c>
      <c r="V71" s="28">
        <f t="shared" si="14"/>
        <v>77911.061230412233</v>
      </c>
      <c r="W71" s="16">
        <f t="shared" si="22"/>
        <v>92.993204681952321</v>
      </c>
      <c r="Y71" s="1"/>
    </row>
    <row r="72" spans="7:25" x14ac:dyDescent="0.25">
      <c r="G72">
        <v>62</v>
      </c>
      <c r="H72" s="21">
        <v>45717</v>
      </c>
      <c r="I72" s="16">
        <f t="shared" si="16"/>
        <v>65331.281931071564</v>
      </c>
      <c r="J72" s="16">
        <f t="shared" si="4"/>
        <v>13066.256386214314</v>
      </c>
      <c r="K72" s="16">
        <f t="shared" si="20"/>
        <v>31964.551402261772</v>
      </c>
      <c r="L72" s="16">
        <f t="shared" si="6"/>
        <v>6392.9102804523545</v>
      </c>
      <c r="M72" s="26">
        <f t="shared" si="17"/>
        <v>116755</v>
      </c>
      <c r="N72" s="26">
        <f t="shared" si="7"/>
        <v>116841.69239508167</v>
      </c>
      <c r="O72" s="16">
        <f t="shared" si="21"/>
        <v>961911.20266281022</v>
      </c>
      <c r="P72" s="16">
        <f t="shared" si="18"/>
        <v>19459.166666666668</v>
      </c>
      <c r="Q72" s="26">
        <f t="shared" si="19"/>
        <v>97295.833333333328</v>
      </c>
      <c r="R72" s="26">
        <f t="shared" si="10"/>
        <v>97382.525728414999</v>
      </c>
      <c r="S72" s="16">
        <f t="shared" si="11"/>
        <v>19459.166666666668</v>
      </c>
      <c r="T72" s="16">
        <f t="shared" si="12"/>
        <v>19476.505145683001</v>
      </c>
      <c r="U72" s="28">
        <f t="shared" si="13"/>
        <v>77836.666666666657</v>
      </c>
      <c r="V72" s="28">
        <f t="shared" si="14"/>
        <v>77906.020582732002</v>
      </c>
      <c r="W72" s="16">
        <f t="shared" si="22"/>
        <v>86.692395081674661</v>
      </c>
      <c r="Y72" s="1"/>
    </row>
    <row r="73" spans="7:25" x14ac:dyDescent="0.25">
      <c r="G73">
        <v>63</v>
      </c>
      <c r="H73" s="21">
        <v>45748</v>
      </c>
      <c r="I73" s="16">
        <f t="shared" si="16"/>
        <v>67740.126579433127</v>
      </c>
      <c r="J73" s="16">
        <f t="shared" si="4"/>
        <v>13548.025315886625</v>
      </c>
      <c r="K73" s="16">
        <f t="shared" si="20"/>
        <v>29555.706753900198</v>
      </c>
      <c r="L73" s="16">
        <f t="shared" si="6"/>
        <v>5911.1413507800398</v>
      </c>
      <c r="M73" s="26">
        <f t="shared" si="17"/>
        <v>116755</v>
      </c>
      <c r="N73" s="26">
        <f t="shared" si="7"/>
        <v>116835.15926688857</v>
      </c>
      <c r="O73" s="16">
        <f t="shared" si="21"/>
        <v>880623.05076749052</v>
      </c>
      <c r="P73" s="16">
        <f t="shared" si="18"/>
        <v>19459.166666666664</v>
      </c>
      <c r="Q73" s="26">
        <f t="shared" si="19"/>
        <v>97295.833333333343</v>
      </c>
      <c r="R73" s="26">
        <f t="shared" si="10"/>
        <v>97375.992600221914</v>
      </c>
      <c r="S73" s="16">
        <f t="shared" si="11"/>
        <v>19459.166666666668</v>
      </c>
      <c r="T73" s="16">
        <f t="shared" si="12"/>
        <v>19475.198520044385</v>
      </c>
      <c r="U73" s="28">
        <f t="shared" si="13"/>
        <v>77836.666666666672</v>
      </c>
      <c r="V73" s="28">
        <f t="shared" si="14"/>
        <v>77900.794080177526</v>
      </c>
      <c r="W73" s="16">
        <f t="shared" si="22"/>
        <v>80.159266888567515</v>
      </c>
      <c r="Y73" s="1"/>
    </row>
    <row r="74" spans="7:25" x14ac:dyDescent="0.25">
      <c r="G74">
        <v>64</v>
      </c>
      <c r="H74" s="21">
        <v>45778</v>
      </c>
      <c r="I74" s="16">
        <f t="shared" si="16"/>
        <v>70237.788290133423</v>
      </c>
      <c r="J74" s="16">
        <f t="shared" si="4"/>
        <v>14047.557658026686</v>
      </c>
      <c r="K74" s="16">
        <f t="shared" si="20"/>
        <v>27058.045043199912</v>
      </c>
      <c r="L74" s="16">
        <f t="shared" si="6"/>
        <v>5411.6090086399827</v>
      </c>
      <c r="M74" s="26">
        <f t="shared" si="17"/>
        <v>116755</v>
      </c>
      <c r="N74" s="26">
        <f t="shared" si="7"/>
        <v>116828.38525423063</v>
      </c>
      <c r="O74" s="16">
        <f t="shared" si="21"/>
        <v>796337.70481933036</v>
      </c>
      <c r="P74" s="16">
        <f t="shared" si="18"/>
        <v>19459.166666666668</v>
      </c>
      <c r="Q74" s="26">
        <f t="shared" si="19"/>
        <v>97295.833333333328</v>
      </c>
      <c r="R74" s="26">
        <f t="shared" si="10"/>
        <v>97369.218587563955</v>
      </c>
      <c r="S74" s="16">
        <f t="shared" si="11"/>
        <v>19459.166666666668</v>
      </c>
      <c r="T74" s="16">
        <f t="shared" si="12"/>
        <v>19473.843717512791</v>
      </c>
      <c r="U74" s="28">
        <f t="shared" si="13"/>
        <v>77836.666666666657</v>
      </c>
      <c r="V74" s="28">
        <f t="shared" si="14"/>
        <v>77895.374870051164</v>
      </c>
      <c r="W74" s="16">
        <f t="shared" si="22"/>
        <v>73.385254230624213</v>
      </c>
      <c r="Y74" s="1"/>
    </row>
    <row r="75" spans="7:25" x14ac:dyDescent="0.25">
      <c r="G75">
        <v>65</v>
      </c>
      <c r="H75" s="21">
        <v>45809</v>
      </c>
      <c r="I75" s="16">
        <f t="shared" ref="I75:I106" si="23">IF(G75&lt;$D$14,(M75-L75-K75)*1/(1+$D$21),IF(G75=$D$14,(M75-L75-K75-$D$20)*1/(1+$D$21),0))</f>
        <v>72827.541857405362</v>
      </c>
      <c r="J75" s="16">
        <f t="shared" si="4"/>
        <v>14565.508371481073</v>
      </c>
      <c r="K75" s="16">
        <f t="shared" si="20"/>
        <v>24468.291475927974</v>
      </c>
      <c r="L75" s="16">
        <f t="shared" si="6"/>
        <v>4893.6582951855953</v>
      </c>
      <c r="M75" s="26">
        <f t="shared" ref="M75:M106" si="24">IF(G75&lt;=$D$14,-$D$25,0)+IF(G75=$D$14,$D$20,0)</f>
        <v>116755</v>
      </c>
      <c r="N75" s="26">
        <f t="shared" si="7"/>
        <v>116821.36147540162</v>
      </c>
      <c r="O75" s="16">
        <f t="shared" si="21"/>
        <v>708944.65459044394</v>
      </c>
      <c r="P75" s="16">
        <f t="shared" ref="P75:P106" si="25">IF($D$32="нет",0,J75+L75+IF(G75=$D$14,$D$20*$D$21/(1+$D$21),0))</f>
        <v>19459.166666666668</v>
      </c>
      <c r="Q75" s="26">
        <f t="shared" ref="Q75:Q106" si="26">IF(G75&lt;=$D$14,M75-P75,0)</f>
        <v>97295.833333333328</v>
      </c>
      <c r="R75" s="26">
        <f t="shared" si="10"/>
        <v>97362.194808734945</v>
      </c>
      <c r="S75" s="16">
        <f t="shared" si="11"/>
        <v>19459.166666666668</v>
      </c>
      <c r="T75" s="16">
        <f t="shared" si="12"/>
        <v>19472.43896174699</v>
      </c>
      <c r="U75" s="28">
        <f t="shared" si="13"/>
        <v>77836.666666666657</v>
      </c>
      <c r="V75" s="28">
        <f t="shared" si="14"/>
        <v>77889.755846987959</v>
      </c>
      <c r="W75" s="16">
        <f t="shared" si="22"/>
        <v>66.361475401610861</v>
      </c>
      <c r="Y75" s="1"/>
    </row>
    <row r="76" spans="7:25" x14ac:dyDescent="0.25">
      <c r="G76">
        <v>66</v>
      </c>
      <c r="H76" s="21">
        <v>45839</v>
      </c>
      <c r="I76" s="16">
        <f t="shared" si="23"/>
        <v>75512.782821169531</v>
      </c>
      <c r="J76" s="16">
        <f t="shared" ref="J76:J139" si="27">IF(G76&lt;=$D$14,I76*$D$21,0)</f>
        <v>15102.556564233906</v>
      </c>
      <c r="K76" s="16">
        <f t="shared" ref="K76:K107" si="28">IF(G76&lt;=$D$14,O75*$D$17,0)</f>
        <v>21783.050512163802</v>
      </c>
      <c r="L76" s="16">
        <f t="shared" ref="L76:L139" si="29">IF(G76&lt;=$D$14,K76*$D$21,0)</f>
        <v>4356.6101024327609</v>
      </c>
      <c r="M76" s="26">
        <f t="shared" si="24"/>
        <v>116755</v>
      </c>
      <c r="N76" s="26">
        <f t="shared" ref="N76:N139" si="30">M76+W76</f>
        <v>116814.07872121588</v>
      </c>
      <c r="O76" s="16">
        <f t="shared" ref="O76:O107" si="31">IF(G76&lt;$D$14,O75-I76-J76,0)</f>
        <v>618329.31520504039</v>
      </c>
      <c r="P76" s="16">
        <f t="shared" si="25"/>
        <v>19459.166666666668</v>
      </c>
      <c r="Q76" s="26">
        <f t="shared" si="26"/>
        <v>97295.833333333328</v>
      </c>
      <c r="R76" s="26">
        <f t="shared" ref="R76:R139" si="32">Q76+W76</f>
        <v>97354.912054549204</v>
      </c>
      <c r="S76" s="16">
        <f t="shared" ref="S76:S139" si="33">IF($D$33="да",Q76*$D$22,0)</f>
        <v>19459.166666666668</v>
      </c>
      <c r="T76" s="16">
        <f t="shared" ref="T76:T139" si="34">IF($D$33="да",R76*$D$22,0)</f>
        <v>19470.982410909841</v>
      </c>
      <c r="U76" s="28">
        <f t="shared" ref="U76:U139" si="35">Q76-S76</f>
        <v>77836.666666666657</v>
      </c>
      <c r="V76" s="28">
        <f t="shared" ref="V76:V139" si="36">R76-T76</f>
        <v>77883.929643639363</v>
      </c>
      <c r="W76" s="16">
        <f t="shared" ref="W76:W107" si="37">IF(G76&lt;=$D$14,O75*$D$23,0)</f>
        <v>59.078721215870324</v>
      </c>
      <c r="Y76" s="1"/>
    </row>
    <row r="77" spans="7:25" x14ac:dyDescent="0.25">
      <c r="G77">
        <v>67</v>
      </c>
      <c r="H77" s="21">
        <v>45870</v>
      </c>
      <c r="I77" s="16">
        <f t="shared" si="23"/>
        <v>78297.031919076093</v>
      </c>
      <c r="J77" s="16">
        <f t="shared" si="27"/>
        <v>15659.40638381522</v>
      </c>
      <c r="K77" s="16">
        <f t="shared" si="28"/>
        <v>18998.801414257257</v>
      </c>
      <c r="L77" s="16">
        <f t="shared" si="29"/>
        <v>3799.7602828514518</v>
      </c>
      <c r="M77" s="26">
        <f t="shared" si="24"/>
        <v>116755</v>
      </c>
      <c r="N77" s="26">
        <f t="shared" si="30"/>
        <v>116806.52744293376</v>
      </c>
      <c r="O77" s="16">
        <f t="shared" si="31"/>
        <v>524372.87690214906</v>
      </c>
      <c r="P77" s="16">
        <f t="shared" si="25"/>
        <v>19459.166666666672</v>
      </c>
      <c r="Q77" s="26">
        <f t="shared" si="26"/>
        <v>97295.833333333328</v>
      </c>
      <c r="R77" s="26">
        <f t="shared" si="32"/>
        <v>97347.360776267087</v>
      </c>
      <c r="S77" s="16">
        <f t="shared" si="33"/>
        <v>19459.166666666668</v>
      </c>
      <c r="T77" s="16">
        <f t="shared" si="34"/>
        <v>19469.472155253417</v>
      </c>
      <c r="U77" s="28">
        <f t="shared" si="35"/>
        <v>77836.666666666657</v>
      </c>
      <c r="V77" s="28">
        <f t="shared" si="36"/>
        <v>77877.88862101367</v>
      </c>
      <c r="W77" s="16">
        <f t="shared" si="37"/>
        <v>51.527442933753363</v>
      </c>
      <c r="Y77" s="1"/>
    </row>
    <row r="78" spans="7:25" x14ac:dyDescent="0.25">
      <c r="G78">
        <v>68</v>
      </c>
      <c r="H78" s="21">
        <v>45901</v>
      </c>
      <c r="I78" s="16">
        <f t="shared" si="23"/>
        <v>81183.939702698815</v>
      </c>
      <c r="J78" s="16">
        <f t="shared" si="27"/>
        <v>16236.787940539763</v>
      </c>
      <c r="K78" s="16">
        <f t="shared" si="28"/>
        <v>16111.893630634522</v>
      </c>
      <c r="L78" s="16">
        <f t="shared" si="29"/>
        <v>3222.3787261269044</v>
      </c>
      <c r="M78" s="26">
        <f t="shared" si="24"/>
        <v>116755</v>
      </c>
      <c r="N78" s="26">
        <f t="shared" si="30"/>
        <v>116798.69773974185</v>
      </c>
      <c r="O78" s="16">
        <f t="shared" si="31"/>
        <v>426952.14925891045</v>
      </c>
      <c r="P78" s="16">
        <f t="shared" si="25"/>
        <v>19459.166666666668</v>
      </c>
      <c r="Q78" s="26">
        <f t="shared" si="26"/>
        <v>97295.833333333328</v>
      </c>
      <c r="R78" s="26">
        <f t="shared" si="32"/>
        <v>97339.531073075181</v>
      </c>
      <c r="S78" s="16">
        <f t="shared" si="33"/>
        <v>19459.166666666668</v>
      </c>
      <c r="T78" s="16">
        <f t="shared" si="34"/>
        <v>19467.906214615035</v>
      </c>
      <c r="U78" s="28">
        <f t="shared" si="35"/>
        <v>77836.666666666657</v>
      </c>
      <c r="V78" s="28">
        <f t="shared" si="36"/>
        <v>77871.624858460142</v>
      </c>
      <c r="W78" s="16">
        <f t="shared" si="37"/>
        <v>43.697739741845751</v>
      </c>
      <c r="Y78" s="1"/>
    </row>
    <row r="79" spans="7:25" x14ac:dyDescent="0.25">
      <c r="G79">
        <v>69</v>
      </c>
      <c r="H79" s="21">
        <v>45931</v>
      </c>
      <c r="I79" s="16">
        <f t="shared" si="23"/>
        <v>84177.291323934143</v>
      </c>
      <c r="J79" s="16">
        <f t="shared" si="27"/>
        <v>16835.45826478683</v>
      </c>
      <c r="K79" s="16">
        <f t="shared" si="28"/>
        <v>13118.542009399202</v>
      </c>
      <c r="L79" s="16">
        <f t="shared" si="29"/>
        <v>2623.7084018798405</v>
      </c>
      <c r="M79" s="26">
        <f t="shared" si="24"/>
        <v>116755</v>
      </c>
      <c r="N79" s="26">
        <f t="shared" si="30"/>
        <v>116790.57934577158</v>
      </c>
      <c r="O79" s="16">
        <f t="shared" si="31"/>
        <v>325939.39967018948</v>
      </c>
      <c r="P79" s="16">
        <f t="shared" si="25"/>
        <v>19459.166666666672</v>
      </c>
      <c r="Q79" s="26">
        <f t="shared" si="26"/>
        <v>97295.833333333328</v>
      </c>
      <c r="R79" s="26">
        <f t="shared" si="32"/>
        <v>97331.412679104906</v>
      </c>
      <c r="S79" s="16">
        <f t="shared" si="33"/>
        <v>19459.166666666668</v>
      </c>
      <c r="T79" s="16">
        <f t="shared" si="34"/>
        <v>19466.282535820981</v>
      </c>
      <c r="U79" s="28">
        <f t="shared" si="35"/>
        <v>77836.666666666657</v>
      </c>
      <c r="V79" s="28">
        <f t="shared" si="36"/>
        <v>77865.130143283925</v>
      </c>
      <c r="W79" s="16">
        <f t="shared" si="37"/>
        <v>35.579345771575866</v>
      </c>
      <c r="Y79" s="1"/>
    </row>
    <row r="80" spans="7:25" x14ac:dyDescent="0.25">
      <c r="G80">
        <v>70</v>
      </c>
      <c r="H80" s="21">
        <v>45962</v>
      </c>
      <c r="I80" s="16">
        <f t="shared" si="23"/>
        <v>87281.011497880303</v>
      </c>
      <c r="J80" s="16">
        <f t="shared" si="27"/>
        <v>17456.20229957606</v>
      </c>
      <c r="K80" s="16">
        <f t="shared" si="28"/>
        <v>10014.821835453029</v>
      </c>
      <c r="L80" s="16">
        <f t="shared" si="29"/>
        <v>2002.9643670906059</v>
      </c>
      <c r="M80" s="26">
        <f t="shared" si="24"/>
        <v>116755</v>
      </c>
      <c r="N80" s="26">
        <f t="shared" si="30"/>
        <v>116782.16161663918</v>
      </c>
      <c r="O80" s="16">
        <f t="shared" si="31"/>
        <v>221202.18587273313</v>
      </c>
      <c r="P80" s="16">
        <f t="shared" si="25"/>
        <v>19459.166666666664</v>
      </c>
      <c r="Q80" s="26">
        <f t="shared" si="26"/>
        <v>97295.833333333343</v>
      </c>
      <c r="R80" s="26">
        <f t="shared" si="32"/>
        <v>97322.994949972519</v>
      </c>
      <c r="S80" s="16">
        <f t="shared" si="33"/>
        <v>19459.166666666668</v>
      </c>
      <c r="T80" s="16">
        <f t="shared" si="34"/>
        <v>19464.598989994505</v>
      </c>
      <c r="U80" s="28">
        <f t="shared" si="35"/>
        <v>77836.666666666672</v>
      </c>
      <c r="V80" s="28">
        <f t="shared" si="36"/>
        <v>77858.395959978021</v>
      </c>
      <c r="W80" s="16">
        <f t="shared" si="37"/>
        <v>27.161616639182455</v>
      </c>
      <c r="Y80" s="1"/>
    </row>
    <row r="81" spans="7:25" x14ac:dyDescent="0.25">
      <c r="G81">
        <v>71</v>
      </c>
      <c r="H81" s="21">
        <v>45992</v>
      </c>
      <c r="I81" s="16">
        <f t="shared" si="23"/>
        <v>90499.169648704235</v>
      </c>
      <c r="J81" s="16">
        <f t="shared" si="27"/>
        <v>18099.833929740849</v>
      </c>
      <c r="K81" s="16">
        <f t="shared" si="28"/>
        <v>6796.6636846291012</v>
      </c>
      <c r="L81" s="16">
        <f t="shared" si="29"/>
        <v>1359.3327369258204</v>
      </c>
      <c r="M81" s="26">
        <f t="shared" si="24"/>
        <v>116755</v>
      </c>
      <c r="N81" s="26">
        <f t="shared" si="30"/>
        <v>116773.43351548939</v>
      </c>
      <c r="O81" s="16">
        <f t="shared" si="31"/>
        <v>112603.18229428804</v>
      </c>
      <c r="P81" s="16">
        <f t="shared" si="25"/>
        <v>19459.166666666672</v>
      </c>
      <c r="Q81" s="26">
        <f t="shared" si="26"/>
        <v>97295.833333333328</v>
      </c>
      <c r="R81" s="26">
        <f t="shared" si="32"/>
        <v>97314.266848822721</v>
      </c>
      <c r="S81" s="16">
        <f t="shared" si="33"/>
        <v>19459.166666666668</v>
      </c>
      <c r="T81" s="16">
        <f t="shared" si="34"/>
        <v>19462.853369764543</v>
      </c>
      <c r="U81" s="28">
        <f t="shared" si="35"/>
        <v>77836.666666666657</v>
      </c>
      <c r="V81" s="28">
        <f t="shared" si="36"/>
        <v>77851.413479058174</v>
      </c>
      <c r="W81" s="16">
        <f t="shared" si="37"/>
        <v>18.433515489394427</v>
      </c>
      <c r="Y81" s="1"/>
    </row>
    <row r="82" spans="7:25" x14ac:dyDescent="0.25">
      <c r="G82">
        <v>72</v>
      </c>
      <c r="H82" s="21">
        <v>46023</v>
      </c>
      <c r="I82" s="16">
        <f t="shared" si="23"/>
        <v>93835.985245242628</v>
      </c>
      <c r="J82" s="16">
        <f t="shared" si="27"/>
        <v>18767.197049048526</v>
      </c>
      <c r="K82" s="16">
        <f t="shared" si="28"/>
        <v>3459.8480880906941</v>
      </c>
      <c r="L82" s="16">
        <f t="shared" si="29"/>
        <v>691.96961761813884</v>
      </c>
      <c r="M82" s="26">
        <f t="shared" si="24"/>
        <v>117755</v>
      </c>
      <c r="N82" s="26">
        <f t="shared" si="30"/>
        <v>117764.38359852452</v>
      </c>
      <c r="O82" s="16">
        <f t="shared" si="31"/>
        <v>0</v>
      </c>
      <c r="P82" s="16">
        <f t="shared" si="25"/>
        <v>19625.833333333332</v>
      </c>
      <c r="Q82" s="26">
        <f t="shared" si="26"/>
        <v>98129.166666666672</v>
      </c>
      <c r="R82" s="26">
        <f t="shared" si="32"/>
        <v>98138.550265191196</v>
      </c>
      <c r="S82" s="16">
        <f t="shared" si="33"/>
        <v>19625.833333333336</v>
      </c>
      <c r="T82" s="16">
        <f t="shared" si="34"/>
        <v>19627.710053038241</v>
      </c>
      <c r="U82" s="28">
        <f t="shared" si="35"/>
        <v>78503.333333333343</v>
      </c>
      <c r="V82" s="28">
        <f t="shared" si="36"/>
        <v>78510.840212152951</v>
      </c>
      <c r="W82" s="16">
        <f t="shared" si="37"/>
        <v>9.3835985245240021</v>
      </c>
      <c r="Y82" s="1"/>
    </row>
    <row r="83" spans="7:25" x14ac:dyDescent="0.25">
      <c r="G83">
        <v>73</v>
      </c>
      <c r="H83" s="21">
        <v>46054</v>
      </c>
      <c r="I83" s="16">
        <f t="shared" si="23"/>
        <v>0</v>
      </c>
      <c r="J83" s="16">
        <f t="shared" si="27"/>
        <v>0</v>
      </c>
      <c r="K83" s="16">
        <f t="shared" si="28"/>
        <v>0</v>
      </c>
      <c r="L83" s="16">
        <f t="shared" si="29"/>
        <v>0</v>
      </c>
      <c r="M83" s="26">
        <f t="shared" si="24"/>
        <v>0</v>
      </c>
      <c r="N83" s="26">
        <f t="shared" si="30"/>
        <v>0</v>
      </c>
      <c r="O83" s="16">
        <f t="shared" si="31"/>
        <v>0</v>
      </c>
      <c r="P83" s="16">
        <f t="shared" si="25"/>
        <v>0</v>
      </c>
      <c r="Q83" s="26">
        <f t="shared" si="26"/>
        <v>0</v>
      </c>
      <c r="R83" s="26">
        <f t="shared" si="32"/>
        <v>0</v>
      </c>
      <c r="S83" s="16">
        <f t="shared" si="33"/>
        <v>0</v>
      </c>
      <c r="T83" s="16">
        <f t="shared" si="34"/>
        <v>0</v>
      </c>
      <c r="U83" s="28">
        <f t="shared" si="35"/>
        <v>0</v>
      </c>
      <c r="V83" s="28">
        <f t="shared" si="36"/>
        <v>0</v>
      </c>
      <c r="W83" s="16">
        <f t="shared" si="37"/>
        <v>0</v>
      </c>
      <c r="Y83" s="1"/>
    </row>
    <row r="84" spans="7:25" x14ac:dyDescent="0.25">
      <c r="G84">
        <v>74</v>
      </c>
      <c r="H84" s="21">
        <v>46082</v>
      </c>
      <c r="I84" s="16">
        <f t="shared" si="23"/>
        <v>0</v>
      </c>
      <c r="J84" s="16">
        <f t="shared" si="27"/>
        <v>0</v>
      </c>
      <c r="K84" s="16">
        <f t="shared" si="28"/>
        <v>0</v>
      </c>
      <c r="L84" s="16">
        <f t="shared" si="29"/>
        <v>0</v>
      </c>
      <c r="M84" s="26">
        <f t="shared" si="24"/>
        <v>0</v>
      </c>
      <c r="N84" s="26">
        <f t="shared" si="30"/>
        <v>0</v>
      </c>
      <c r="O84" s="16">
        <f t="shared" si="31"/>
        <v>0</v>
      </c>
      <c r="P84" s="16">
        <f t="shared" si="25"/>
        <v>0</v>
      </c>
      <c r="Q84" s="26">
        <f t="shared" si="26"/>
        <v>0</v>
      </c>
      <c r="R84" s="26">
        <f t="shared" si="32"/>
        <v>0</v>
      </c>
      <c r="S84" s="16">
        <f t="shared" si="33"/>
        <v>0</v>
      </c>
      <c r="T84" s="16">
        <f t="shared" si="34"/>
        <v>0</v>
      </c>
      <c r="U84" s="28">
        <f t="shared" si="35"/>
        <v>0</v>
      </c>
      <c r="V84" s="28">
        <f t="shared" si="36"/>
        <v>0</v>
      </c>
      <c r="W84" s="16">
        <f t="shared" si="37"/>
        <v>0</v>
      </c>
      <c r="Y84" s="1"/>
    </row>
    <row r="85" spans="7:25" x14ac:dyDescent="0.25">
      <c r="G85">
        <v>75</v>
      </c>
      <c r="H85" s="21">
        <v>46113</v>
      </c>
      <c r="I85" s="16">
        <f t="shared" si="23"/>
        <v>0</v>
      </c>
      <c r="J85" s="16">
        <f t="shared" si="27"/>
        <v>0</v>
      </c>
      <c r="K85" s="16">
        <f t="shared" si="28"/>
        <v>0</v>
      </c>
      <c r="L85" s="16">
        <f t="shared" si="29"/>
        <v>0</v>
      </c>
      <c r="M85" s="26">
        <f t="shared" si="24"/>
        <v>0</v>
      </c>
      <c r="N85" s="26">
        <f t="shared" si="30"/>
        <v>0</v>
      </c>
      <c r="O85" s="16">
        <f t="shared" si="31"/>
        <v>0</v>
      </c>
      <c r="P85" s="16">
        <f t="shared" si="25"/>
        <v>0</v>
      </c>
      <c r="Q85" s="26">
        <f t="shared" si="26"/>
        <v>0</v>
      </c>
      <c r="R85" s="26">
        <f t="shared" si="32"/>
        <v>0</v>
      </c>
      <c r="S85" s="16">
        <f t="shared" si="33"/>
        <v>0</v>
      </c>
      <c r="T85" s="16">
        <f t="shared" si="34"/>
        <v>0</v>
      </c>
      <c r="U85" s="28">
        <f t="shared" si="35"/>
        <v>0</v>
      </c>
      <c r="V85" s="28">
        <f t="shared" si="36"/>
        <v>0</v>
      </c>
      <c r="W85" s="16">
        <f t="shared" si="37"/>
        <v>0</v>
      </c>
      <c r="Y85" s="1"/>
    </row>
    <row r="86" spans="7:25" x14ac:dyDescent="0.25">
      <c r="G86">
        <v>76</v>
      </c>
      <c r="H86" s="21">
        <v>46143</v>
      </c>
      <c r="I86" s="16">
        <f t="shared" si="23"/>
        <v>0</v>
      </c>
      <c r="J86" s="16">
        <f t="shared" si="27"/>
        <v>0</v>
      </c>
      <c r="K86" s="16">
        <f t="shared" si="28"/>
        <v>0</v>
      </c>
      <c r="L86" s="16">
        <f t="shared" si="29"/>
        <v>0</v>
      </c>
      <c r="M86" s="26">
        <f t="shared" si="24"/>
        <v>0</v>
      </c>
      <c r="N86" s="26">
        <f t="shared" si="30"/>
        <v>0</v>
      </c>
      <c r="O86" s="16">
        <f t="shared" si="31"/>
        <v>0</v>
      </c>
      <c r="P86" s="16">
        <f t="shared" si="25"/>
        <v>0</v>
      </c>
      <c r="Q86" s="26">
        <f t="shared" si="26"/>
        <v>0</v>
      </c>
      <c r="R86" s="26">
        <f t="shared" si="32"/>
        <v>0</v>
      </c>
      <c r="S86" s="16">
        <f t="shared" si="33"/>
        <v>0</v>
      </c>
      <c r="T86" s="16">
        <f t="shared" si="34"/>
        <v>0</v>
      </c>
      <c r="U86" s="28">
        <f t="shared" si="35"/>
        <v>0</v>
      </c>
      <c r="V86" s="28">
        <f t="shared" si="36"/>
        <v>0</v>
      </c>
      <c r="W86" s="16">
        <f t="shared" si="37"/>
        <v>0</v>
      </c>
      <c r="Y86" s="1"/>
    </row>
    <row r="87" spans="7:25" x14ac:dyDescent="0.25">
      <c r="G87">
        <v>77</v>
      </c>
      <c r="H87" s="21">
        <v>46174</v>
      </c>
      <c r="I87" s="16">
        <f t="shared" si="23"/>
        <v>0</v>
      </c>
      <c r="J87" s="16">
        <f t="shared" si="27"/>
        <v>0</v>
      </c>
      <c r="K87" s="16">
        <f t="shared" si="28"/>
        <v>0</v>
      </c>
      <c r="L87" s="16">
        <f t="shared" si="29"/>
        <v>0</v>
      </c>
      <c r="M87" s="26">
        <f t="shared" si="24"/>
        <v>0</v>
      </c>
      <c r="N87" s="26">
        <f t="shared" si="30"/>
        <v>0</v>
      </c>
      <c r="O87" s="16">
        <f t="shared" si="31"/>
        <v>0</v>
      </c>
      <c r="P87" s="16">
        <f t="shared" si="25"/>
        <v>0</v>
      </c>
      <c r="Q87" s="26">
        <f t="shared" si="26"/>
        <v>0</v>
      </c>
      <c r="R87" s="26">
        <f t="shared" si="32"/>
        <v>0</v>
      </c>
      <c r="S87" s="16">
        <f t="shared" si="33"/>
        <v>0</v>
      </c>
      <c r="T87" s="16">
        <f t="shared" si="34"/>
        <v>0</v>
      </c>
      <c r="U87" s="28">
        <f t="shared" si="35"/>
        <v>0</v>
      </c>
      <c r="V87" s="28">
        <f t="shared" si="36"/>
        <v>0</v>
      </c>
      <c r="W87" s="16">
        <f t="shared" si="37"/>
        <v>0</v>
      </c>
      <c r="Y87" s="1"/>
    </row>
    <row r="88" spans="7:25" x14ac:dyDescent="0.25">
      <c r="G88">
        <v>78</v>
      </c>
      <c r="H88" s="21">
        <v>46204</v>
      </c>
      <c r="I88" s="16">
        <f t="shared" si="23"/>
        <v>0</v>
      </c>
      <c r="J88" s="16">
        <f t="shared" si="27"/>
        <v>0</v>
      </c>
      <c r="K88" s="16">
        <f t="shared" si="28"/>
        <v>0</v>
      </c>
      <c r="L88" s="16">
        <f t="shared" si="29"/>
        <v>0</v>
      </c>
      <c r="M88" s="26">
        <f t="shared" si="24"/>
        <v>0</v>
      </c>
      <c r="N88" s="26">
        <f t="shared" si="30"/>
        <v>0</v>
      </c>
      <c r="O88" s="16">
        <f t="shared" si="31"/>
        <v>0</v>
      </c>
      <c r="P88" s="16">
        <f t="shared" si="25"/>
        <v>0</v>
      </c>
      <c r="Q88" s="26">
        <f t="shared" si="26"/>
        <v>0</v>
      </c>
      <c r="R88" s="26">
        <f t="shared" si="32"/>
        <v>0</v>
      </c>
      <c r="S88" s="16">
        <f t="shared" si="33"/>
        <v>0</v>
      </c>
      <c r="T88" s="16">
        <f t="shared" si="34"/>
        <v>0</v>
      </c>
      <c r="U88" s="28">
        <f t="shared" si="35"/>
        <v>0</v>
      </c>
      <c r="V88" s="28">
        <f t="shared" si="36"/>
        <v>0</v>
      </c>
      <c r="W88" s="16">
        <f t="shared" si="37"/>
        <v>0</v>
      </c>
      <c r="Y88" s="1"/>
    </row>
    <row r="89" spans="7:25" x14ac:dyDescent="0.25">
      <c r="G89">
        <v>79</v>
      </c>
      <c r="H89" s="21">
        <v>46235</v>
      </c>
      <c r="I89" s="16">
        <f t="shared" si="23"/>
        <v>0</v>
      </c>
      <c r="J89" s="16">
        <f t="shared" si="27"/>
        <v>0</v>
      </c>
      <c r="K89" s="16">
        <f t="shared" si="28"/>
        <v>0</v>
      </c>
      <c r="L89" s="16">
        <f t="shared" si="29"/>
        <v>0</v>
      </c>
      <c r="M89" s="26">
        <f t="shared" si="24"/>
        <v>0</v>
      </c>
      <c r="N89" s="26">
        <f t="shared" si="30"/>
        <v>0</v>
      </c>
      <c r="O89" s="16">
        <f t="shared" si="31"/>
        <v>0</v>
      </c>
      <c r="P89" s="16">
        <f t="shared" si="25"/>
        <v>0</v>
      </c>
      <c r="Q89" s="26">
        <f t="shared" si="26"/>
        <v>0</v>
      </c>
      <c r="R89" s="26">
        <f t="shared" si="32"/>
        <v>0</v>
      </c>
      <c r="S89" s="16">
        <f t="shared" si="33"/>
        <v>0</v>
      </c>
      <c r="T89" s="16">
        <f t="shared" si="34"/>
        <v>0</v>
      </c>
      <c r="U89" s="28">
        <f t="shared" si="35"/>
        <v>0</v>
      </c>
      <c r="V89" s="28">
        <f t="shared" si="36"/>
        <v>0</v>
      </c>
      <c r="W89" s="16">
        <f t="shared" si="37"/>
        <v>0</v>
      </c>
      <c r="Y89" s="1"/>
    </row>
    <row r="90" spans="7:25" x14ac:dyDescent="0.25">
      <c r="G90">
        <v>80</v>
      </c>
      <c r="H90" s="21">
        <v>46266</v>
      </c>
      <c r="I90" s="16">
        <f t="shared" si="23"/>
        <v>0</v>
      </c>
      <c r="J90" s="16">
        <f t="shared" si="27"/>
        <v>0</v>
      </c>
      <c r="K90" s="16">
        <f t="shared" si="28"/>
        <v>0</v>
      </c>
      <c r="L90" s="16">
        <f t="shared" si="29"/>
        <v>0</v>
      </c>
      <c r="M90" s="26">
        <f t="shared" si="24"/>
        <v>0</v>
      </c>
      <c r="N90" s="26">
        <f t="shared" si="30"/>
        <v>0</v>
      </c>
      <c r="O90" s="16">
        <f t="shared" si="31"/>
        <v>0</v>
      </c>
      <c r="P90" s="16">
        <f t="shared" si="25"/>
        <v>0</v>
      </c>
      <c r="Q90" s="26">
        <f t="shared" si="26"/>
        <v>0</v>
      </c>
      <c r="R90" s="26">
        <f t="shared" si="32"/>
        <v>0</v>
      </c>
      <c r="S90" s="16">
        <f t="shared" si="33"/>
        <v>0</v>
      </c>
      <c r="T90" s="16">
        <f t="shared" si="34"/>
        <v>0</v>
      </c>
      <c r="U90" s="28">
        <f t="shared" si="35"/>
        <v>0</v>
      </c>
      <c r="V90" s="28">
        <f t="shared" si="36"/>
        <v>0</v>
      </c>
      <c r="W90" s="16">
        <f t="shared" si="37"/>
        <v>0</v>
      </c>
      <c r="Y90" s="1"/>
    </row>
    <row r="91" spans="7:25" x14ac:dyDescent="0.25">
      <c r="G91">
        <v>81</v>
      </c>
      <c r="H91" s="21">
        <v>46296</v>
      </c>
      <c r="I91" s="16">
        <f t="shared" si="23"/>
        <v>0</v>
      </c>
      <c r="J91" s="16">
        <f t="shared" si="27"/>
        <v>0</v>
      </c>
      <c r="K91" s="16">
        <f t="shared" si="28"/>
        <v>0</v>
      </c>
      <c r="L91" s="16">
        <f t="shared" si="29"/>
        <v>0</v>
      </c>
      <c r="M91" s="26">
        <f t="shared" si="24"/>
        <v>0</v>
      </c>
      <c r="N91" s="26">
        <f t="shared" si="30"/>
        <v>0</v>
      </c>
      <c r="O91" s="16">
        <f t="shared" si="31"/>
        <v>0</v>
      </c>
      <c r="P91" s="16">
        <f t="shared" si="25"/>
        <v>0</v>
      </c>
      <c r="Q91" s="26">
        <f t="shared" si="26"/>
        <v>0</v>
      </c>
      <c r="R91" s="26">
        <f t="shared" si="32"/>
        <v>0</v>
      </c>
      <c r="S91" s="16">
        <f t="shared" si="33"/>
        <v>0</v>
      </c>
      <c r="T91" s="16">
        <f t="shared" si="34"/>
        <v>0</v>
      </c>
      <c r="U91" s="28">
        <f t="shared" si="35"/>
        <v>0</v>
      </c>
      <c r="V91" s="28">
        <f t="shared" si="36"/>
        <v>0</v>
      </c>
      <c r="W91" s="16">
        <f t="shared" si="37"/>
        <v>0</v>
      </c>
      <c r="Y91" s="1"/>
    </row>
    <row r="92" spans="7:25" x14ac:dyDescent="0.25">
      <c r="G92">
        <v>82</v>
      </c>
      <c r="H92" s="21">
        <v>46327</v>
      </c>
      <c r="I92" s="16">
        <f t="shared" si="23"/>
        <v>0</v>
      </c>
      <c r="J92" s="16">
        <f t="shared" si="27"/>
        <v>0</v>
      </c>
      <c r="K92" s="16">
        <f t="shared" si="28"/>
        <v>0</v>
      </c>
      <c r="L92" s="16">
        <f t="shared" si="29"/>
        <v>0</v>
      </c>
      <c r="M92" s="26">
        <f t="shared" si="24"/>
        <v>0</v>
      </c>
      <c r="N92" s="26">
        <f t="shared" si="30"/>
        <v>0</v>
      </c>
      <c r="O92" s="16">
        <f t="shared" si="31"/>
        <v>0</v>
      </c>
      <c r="P92" s="16">
        <f t="shared" si="25"/>
        <v>0</v>
      </c>
      <c r="Q92" s="26">
        <f t="shared" si="26"/>
        <v>0</v>
      </c>
      <c r="R92" s="26">
        <f t="shared" si="32"/>
        <v>0</v>
      </c>
      <c r="S92" s="16">
        <f t="shared" si="33"/>
        <v>0</v>
      </c>
      <c r="T92" s="16">
        <f t="shared" si="34"/>
        <v>0</v>
      </c>
      <c r="U92" s="28">
        <f t="shared" si="35"/>
        <v>0</v>
      </c>
      <c r="V92" s="28">
        <f t="shared" si="36"/>
        <v>0</v>
      </c>
      <c r="W92" s="16">
        <f t="shared" si="37"/>
        <v>0</v>
      </c>
      <c r="Y92" s="1"/>
    </row>
    <row r="93" spans="7:25" x14ac:dyDescent="0.25">
      <c r="G93">
        <v>83</v>
      </c>
      <c r="H93" s="21">
        <v>46357</v>
      </c>
      <c r="I93" s="16">
        <f t="shared" si="23"/>
        <v>0</v>
      </c>
      <c r="J93" s="16">
        <f t="shared" si="27"/>
        <v>0</v>
      </c>
      <c r="K93" s="16">
        <f t="shared" si="28"/>
        <v>0</v>
      </c>
      <c r="L93" s="16">
        <f t="shared" si="29"/>
        <v>0</v>
      </c>
      <c r="M93" s="26">
        <f t="shared" si="24"/>
        <v>0</v>
      </c>
      <c r="N93" s="26">
        <f t="shared" si="30"/>
        <v>0</v>
      </c>
      <c r="O93" s="16">
        <f t="shared" si="31"/>
        <v>0</v>
      </c>
      <c r="P93" s="16">
        <f t="shared" si="25"/>
        <v>0</v>
      </c>
      <c r="Q93" s="26">
        <f t="shared" si="26"/>
        <v>0</v>
      </c>
      <c r="R93" s="26">
        <f t="shared" si="32"/>
        <v>0</v>
      </c>
      <c r="S93" s="16">
        <f t="shared" si="33"/>
        <v>0</v>
      </c>
      <c r="T93" s="16">
        <f t="shared" si="34"/>
        <v>0</v>
      </c>
      <c r="U93" s="28">
        <f t="shared" si="35"/>
        <v>0</v>
      </c>
      <c r="V93" s="28">
        <f t="shared" si="36"/>
        <v>0</v>
      </c>
      <c r="W93" s="16">
        <f t="shared" si="37"/>
        <v>0</v>
      </c>
      <c r="Y93" s="1"/>
    </row>
    <row r="94" spans="7:25" x14ac:dyDescent="0.25">
      <c r="G94">
        <v>84</v>
      </c>
      <c r="H94" s="21">
        <v>46388</v>
      </c>
      <c r="I94" s="16">
        <f t="shared" si="23"/>
        <v>0</v>
      </c>
      <c r="J94" s="16">
        <f t="shared" si="27"/>
        <v>0</v>
      </c>
      <c r="K94" s="16">
        <f t="shared" si="28"/>
        <v>0</v>
      </c>
      <c r="L94" s="16">
        <f t="shared" si="29"/>
        <v>0</v>
      </c>
      <c r="M94" s="26">
        <f t="shared" si="24"/>
        <v>0</v>
      </c>
      <c r="N94" s="26">
        <f t="shared" si="30"/>
        <v>0</v>
      </c>
      <c r="O94" s="16">
        <f t="shared" si="31"/>
        <v>0</v>
      </c>
      <c r="P94" s="16">
        <f t="shared" si="25"/>
        <v>0</v>
      </c>
      <c r="Q94" s="26">
        <f t="shared" si="26"/>
        <v>0</v>
      </c>
      <c r="R94" s="26">
        <f t="shared" si="32"/>
        <v>0</v>
      </c>
      <c r="S94" s="16">
        <f t="shared" si="33"/>
        <v>0</v>
      </c>
      <c r="T94" s="16">
        <f t="shared" si="34"/>
        <v>0</v>
      </c>
      <c r="U94" s="28">
        <f t="shared" si="35"/>
        <v>0</v>
      </c>
      <c r="V94" s="28">
        <f t="shared" si="36"/>
        <v>0</v>
      </c>
      <c r="W94" s="16">
        <f t="shared" si="37"/>
        <v>0</v>
      </c>
      <c r="Y94" s="1"/>
    </row>
    <row r="95" spans="7:25" x14ac:dyDescent="0.25">
      <c r="G95">
        <v>85</v>
      </c>
      <c r="H95" s="21">
        <v>46419</v>
      </c>
      <c r="I95" s="16">
        <f t="shared" si="23"/>
        <v>0</v>
      </c>
      <c r="J95" s="16">
        <f t="shared" si="27"/>
        <v>0</v>
      </c>
      <c r="K95" s="16">
        <f t="shared" si="28"/>
        <v>0</v>
      </c>
      <c r="L95" s="16">
        <f t="shared" si="29"/>
        <v>0</v>
      </c>
      <c r="M95" s="26">
        <f t="shared" si="24"/>
        <v>0</v>
      </c>
      <c r="N95" s="26">
        <f t="shared" si="30"/>
        <v>0</v>
      </c>
      <c r="O95" s="16">
        <f t="shared" si="31"/>
        <v>0</v>
      </c>
      <c r="P95" s="16">
        <f t="shared" si="25"/>
        <v>0</v>
      </c>
      <c r="Q95" s="26">
        <f t="shared" si="26"/>
        <v>0</v>
      </c>
      <c r="R95" s="26">
        <f t="shared" si="32"/>
        <v>0</v>
      </c>
      <c r="S95" s="16">
        <f t="shared" si="33"/>
        <v>0</v>
      </c>
      <c r="T95" s="16">
        <f t="shared" si="34"/>
        <v>0</v>
      </c>
      <c r="U95" s="28">
        <f t="shared" si="35"/>
        <v>0</v>
      </c>
      <c r="V95" s="28">
        <f t="shared" si="36"/>
        <v>0</v>
      </c>
      <c r="W95" s="16">
        <f t="shared" si="37"/>
        <v>0</v>
      </c>
      <c r="Y95" s="1"/>
    </row>
    <row r="96" spans="7:25" x14ac:dyDescent="0.25">
      <c r="G96">
        <v>86</v>
      </c>
      <c r="H96" s="21">
        <v>46447</v>
      </c>
      <c r="I96" s="16">
        <f t="shared" si="23"/>
        <v>0</v>
      </c>
      <c r="J96" s="16">
        <f t="shared" si="27"/>
        <v>0</v>
      </c>
      <c r="K96" s="16">
        <f t="shared" si="28"/>
        <v>0</v>
      </c>
      <c r="L96" s="16">
        <f t="shared" si="29"/>
        <v>0</v>
      </c>
      <c r="M96" s="26">
        <f t="shared" si="24"/>
        <v>0</v>
      </c>
      <c r="N96" s="26">
        <f t="shared" si="30"/>
        <v>0</v>
      </c>
      <c r="O96" s="16">
        <f t="shared" si="31"/>
        <v>0</v>
      </c>
      <c r="P96" s="16">
        <f t="shared" si="25"/>
        <v>0</v>
      </c>
      <c r="Q96" s="26">
        <f t="shared" si="26"/>
        <v>0</v>
      </c>
      <c r="R96" s="26">
        <f t="shared" si="32"/>
        <v>0</v>
      </c>
      <c r="S96" s="16">
        <f t="shared" si="33"/>
        <v>0</v>
      </c>
      <c r="T96" s="16">
        <f t="shared" si="34"/>
        <v>0</v>
      </c>
      <c r="U96" s="28">
        <f t="shared" si="35"/>
        <v>0</v>
      </c>
      <c r="V96" s="28">
        <f t="shared" si="36"/>
        <v>0</v>
      </c>
      <c r="W96" s="16">
        <f t="shared" si="37"/>
        <v>0</v>
      </c>
      <c r="Y96" s="1"/>
    </row>
    <row r="97" spans="7:25" x14ac:dyDescent="0.25">
      <c r="G97">
        <v>87</v>
      </c>
      <c r="H97" s="21">
        <v>46478</v>
      </c>
      <c r="I97" s="16">
        <f t="shared" si="23"/>
        <v>0</v>
      </c>
      <c r="J97" s="16">
        <f t="shared" si="27"/>
        <v>0</v>
      </c>
      <c r="K97" s="16">
        <f t="shared" si="28"/>
        <v>0</v>
      </c>
      <c r="L97" s="16">
        <f t="shared" si="29"/>
        <v>0</v>
      </c>
      <c r="M97" s="26">
        <f t="shared" si="24"/>
        <v>0</v>
      </c>
      <c r="N97" s="26">
        <f t="shared" si="30"/>
        <v>0</v>
      </c>
      <c r="O97" s="16">
        <f t="shared" si="31"/>
        <v>0</v>
      </c>
      <c r="P97" s="16">
        <f t="shared" si="25"/>
        <v>0</v>
      </c>
      <c r="Q97" s="26">
        <f t="shared" si="26"/>
        <v>0</v>
      </c>
      <c r="R97" s="26">
        <f t="shared" si="32"/>
        <v>0</v>
      </c>
      <c r="S97" s="16">
        <f t="shared" si="33"/>
        <v>0</v>
      </c>
      <c r="T97" s="16">
        <f t="shared" si="34"/>
        <v>0</v>
      </c>
      <c r="U97" s="28">
        <f t="shared" si="35"/>
        <v>0</v>
      </c>
      <c r="V97" s="28">
        <f t="shared" si="36"/>
        <v>0</v>
      </c>
      <c r="W97" s="16">
        <f t="shared" si="37"/>
        <v>0</v>
      </c>
      <c r="Y97" s="1"/>
    </row>
    <row r="98" spans="7:25" x14ac:dyDescent="0.25">
      <c r="G98">
        <v>88</v>
      </c>
      <c r="H98" s="21">
        <v>46508</v>
      </c>
      <c r="I98" s="16">
        <f t="shared" si="23"/>
        <v>0</v>
      </c>
      <c r="J98" s="16">
        <f t="shared" si="27"/>
        <v>0</v>
      </c>
      <c r="K98" s="16">
        <f t="shared" si="28"/>
        <v>0</v>
      </c>
      <c r="L98" s="16">
        <f t="shared" si="29"/>
        <v>0</v>
      </c>
      <c r="M98" s="26">
        <f t="shared" si="24"/>
        <v>0</v>
      </c>
      <c r="N98" s="26">
        <f t="shared" si="30"/>
        <v>0</v>
      </c>
      <c r="O98" s="16">
        <f t="shared" si="31"/>
        <v>0</v>
      </c>
      <c r="P98" s="16">
        <f t="shared" si="25"/>
        <v>0</v>
      </c>
      <c r="Q98" s="26">
        <f t="shared" si="26"/>
        <v>0</v>
      </c>
      <c r="R98" s="26">
        <f t="shared" si="32"/>
        <v>0</v>
      </c>
      <c r="S98" s="16">
        <f t="shared" si="33"/>
        <v>0</v>
      </c>
      <c r="T98" s="16">
        <f t="shared" si="34"/>
        <v>0</v>
      </c>
      <c r="U98" s="28">
        <f t="shared" si="35"/>
        <v>0</v>
      </c>
      <c r="V98" s="28">
        <f t="shared" si="36"/>
        <v>0</v>
      </c>
      <c r="W98" s="16">
        <f t="shared" si="37"/>
        <v>0</v>
      </c>
      <c r="Y98" s="1"/>
    </row>
    <row r="99" spans="7:25" x14ac:dyDescent="0.25">
      <c r="G99">
        <v>89</v>
      </c>
      <c r="H99" s="21">
        <v>46539</v>
      </c>
      <c r="I99" s="16">
        <f t="shared" si="23"/>
        <v>0</v>
      </c>
      <c r="J99" s="16">
        <f t="shared" si="27"/>
        <v>0</v>
      </c>
      <c r="K99" s="16">
        <f t="shared" si="28"/>
        <v>0</v>
      </c>
      <c r="L99" s="16">
        <f t="shared" si="29"/>
        <v>0</v>
      </c>
      <c r="M99" s="26">
        <f t="shared" si="24"/>
        <v>0</v>
      </c>
      <c r="N99" s="26">
        <f t="shared" si="30"/>
        <v>0</v>
      </c>
      <c r="O99" s="16">
        <f t="shared" si="31"/>
        <v>0</v>
      </c>
      <c r="P99" s="16">
        <f t="shared" si="25"/>
        <v>0</v>
      </c>
      <c r="Q99" s="26">
        <f t="shared" si="26"/>
        <v>0</v>
      </c>
      <c r="R99" s="26">
        <f t="shared" si="32"/>
        <v>0</v>
      </c>
      <c r="S99" s="16">
        <f t="shared" si="33"/>
        <v>0</v>
      </c>
      <c r="T99" s="16">
        <f t="shared" si="34"/>
        <v>0</v>
      </c>
      <c r="U99" s="28">
        <f t="shared" si="35"/>
        <v>0</v>
      </c>
      <c r="V99" s="28">
        <f t="shared" si="36"/>
        <v>0</v>
      </c>
      <c r="W99" s="16">
        <f t="shared" si="37"/>
        <v>0</v>
      </c>
      <c r="Y99" s="1"/>
    </row>
    <row r="100" spans="7:25" x14ac:dyDescent="0.25">
      <c r="G100">
        <v>90</v>
      </c>
      <c r="H100" s="21">
        <v>46569</v>
      </c>
      <c r="I100" s="16">
        <f t="shared" si="23"/>
        <v>0</v>
      </c>
      <c r="J100" s="16">
        <f t="shared" si="27"/>
        <v>0</v>
      </c>
      <c r="K100" s="16">
        <f t="shared" si="28"/>
        <v>0</v>
      </c>
      <c r="L100" s="16">
        <f t="shared" si="29"/>
        <v>0</v>
      </c>
      <c r="M100" s="26">
        <f t="shared" si="24"/>
        <v>0</v>
      </c>
      <c r="N100" s="26">
        <f t="shared" si="30"/>
        <v>0</v>
      </c>
      <c r="O100" s="16">
        <f t="shared" si="31"/>
        <v>0</v>
      </c>
      <c r="P100" s="16">
        <f t="shared" si="25"/>
        <v>0</v>
      </c>
      <c r="Q100" s="26">
        <f t="shared" si="26"/>
        <v>0</v>
      </c>
      <c r="R100" s="26">
        <f t="shared" si="32"/>
        <v>0</v>
      </c>
      <c r="S100" s="16">
        <f t="shared" si="33"/>
        <v>0</v>
      </c>
      <c r="T100" s="16">
        <f t="shared" si="34"/>
        <v>0</v>
      </c>
      <c r="U100" s="28">
        <f t="shared" si="35"/>
        <v>0</v>
      </c>
      <c r="V100" s="28">
        <f t="shared" si="36"/>
        <v>0</v>
      </c>
      <c r="W100" s="16">
        <f t="shared" si="37"/>
        <v>0</v>
      </c>
      <c r="Y100" s="1"/>
    </row>
    <row r="101" spans="7:25" x14ac:dyDescent="0.25">
      <c r="G101">
        <v>91</v>
      </c>
      <c r="H101" s="21">
        <v>46600</v>
      </c>
      <c r="I101" s="16">
        <f t="shared" si="23"/>
        <v>0</v>
      </c>
      <c r="J101" s="16">
        <f t="shared" si="27"/>
        <v>0</v>
      </c>
      <c r="K101" s="16">
        <f t="shared" si="28"/>
        <v>0</v>
      </c>
      <c r="L101" s="16">
        <f t="shared" si="29"/>
        <v>0</v>
      </c>
      <c r="M101" s="26">
        <f t="shared" si="24"/>
        <v>0</v>
      </c>
      <c r="N101" s="26">
        <f t="shared" si="30"/>
        <v>0</v>
      </c>
      <c r="O101" s="16">
        <f t="shared" si="31"/>
        <v>0</v>
      </c>
      <c r="P101" s="16">
        <f t="shared" si="25"/>
        <v>0</v>
      </c>
      <c r="Q101" s="26">
        <f t="shared" si="26"/>
        <v>0</v>
      </c>
      <c r="R101" s="26">
        <f t="shared" si="32"/>
        <v>0</v>
      </c>
      <c r="S101" s="16">
        <f t="shared" si="33"/>
        <v>0</v>
      </c>
      <c r="T101" s="16">
        <f t="shared" si="34"/>
        <v>0</v>
      </c>
      <c r="U101" s="28">
        <f t="shared" si="35"/>
        <v>0</v>
      </c>
      <c r="V101" s="28">
        <f t="shared" si="36"/>
        <v>0</v>
      </c>
      <c r="W101" s="16">
        <f t="shared" si="37"/>
        <v>0</v>
      </c>
      <c r="Y101" s="1"/>
    </row>
    <row r="102" spans="7:25" x14ac:dyDescent="0.25">
      <c r="G102">
        <v>92</v>
      </c>
      <c r="H102" s="21">
        <v>46631</v>
      </c>
      <c r="I102" s="16">
        <f t="shared" si="23"/>
        <v>0</v>
      </c>
      <c r="J102" s="16">
        <f t="shared" si="27"/>
        <v>0</v>
      </c>
      <c r="K102" s="16">
        <f t="shared" si="28"/>
        <v>0</v>
      </c>
      <c r="L102" s="16">
        <f t="shared" si="29"/>
        <v>0</v>
      </c>
      <c r="M102" s="26">
        <f t="shared" si="24"/>
        <v>0</v>
      </c>
      <c r="N102" s="26">
        <f t="shared" si="30"/>
        <v>0</v>
      </c>
      <c r="O102" s="16">
        <f t="shared" si="31"/>
        <v>0</v>
      </c>
      <c r="P102" s="16">
        <f t="shared" si="25"/>
        <v>0</v>
      </c>
      <c r="Q102" s="26">
        <f t="shared" si="26"/>
        <v>0</v>
      </c>
      <c r="R102" s="26">
        <f t="shared" si="32"/>
        <v>0</v>
      </c>
      <c r="S102" s="16">
        <f t="shared" si="33"/>
        <v>0</v>
      </c>
      <c r="T102" s="16">
        <f t="shared" si="34"/>
        <v>0</v>
      </c>
      <c r="U102" s="28">
        <f t="shared" si="35"/>
        <v>0</v>
      </c>
      <c r="V102" s="28">
        <f t="shared" si="36"/>
        <v>0</v>
      </c>
      <c r="W102" s="16">
        <f t="shared" si="37"/>
        <v>0</v>
      </c>
      <c r="Y102" s="1"/>
    </row>
    <row r="103" spans="7:25" x14ac:dyDescent="0.25">
      <c r="G103">
        <v>93</v>
      </c>
      <c r="H103" s="21">
        <v>46661</v>
      </c>
      <c r="I103" s="16">
        <f t="shared" si="23"/>
        <v>0</v>
      </c>
      <c r="J103" s="16">
        <f t="shared" si="27"/>
        <v>0</v>
      </c>
      <c r="K103" s="16">
        <f t="shared" si="28"/>
        <v>0</v>
      </c>
      <c r="L103" s="16">
        <f t="shared" si="29"/>
        <v>0</v>
      </c>
      <c r="M103" s="26">
        <f t="shared" si="24"/>
        <v>0</v>
      </c>
      <c r="N103" s="26">
        <f t="shared" si="30"/>
        <v>0</v>
      </c>
      <c r="O103" s="16">
        <f t="shared" si="31"/>
        <v>0</v>
      </c>
      <c r="P103" s="16">
        <f t="shared" si="25"/>
        <v>0</v>
      </c>
      <c r="Q103" s="26">
        <f t="shared" si="26"/>
        <v>0</v>
      </c>
      <c r="R103" s="26">
        <f t="shared" si="32"/>
        <v>0</v>
      </c>
      <c r="S103" s="16">
        <f t="shared" si="33"/>
        <v>0</v>
      </c>
      <c r="T103" s="16">
        <f t="shared" si="34"/>
        <v>0</v>
      </c>
      <c r="U103" s="28">
        <f t="shared" si="35"/>
        <v>0</v>
      </c>
      <c r="V103" s="28">
        <f t="shared" si="36"/>
        <v>0</v>
      </c>
      <c r="W103" s="16">
        <f t="shared" si="37"/>
        <v>0</v>
      </c>
      <c r="Y103" s="1"/>
    </row>
    <row r="104" spans="7:25" x14ac:dyDescent="0.25">
      <c r="G104">
        <v>94</v>
      </c>
      <c r="H104" s="21">
        <v>46692</v>
      </c>
      <c r="I104" s="16">
        <f t="shared" si="23"/>
        <v>0</v>
      </c>
      <c r="J104" s="16">
        <f t="shared" si="27"/>
        <v>0</v>
      </c>
      <c r="K104" s="16">
        <f t="shared" si="28"/>
        <v>0</v>
      </c>
      <c r="L104" s="16">
        <f t="shared" si="29"/>
        <v>0</v>
      </c>
      <c r="M104" s="26">
        <f t="shared" si="24"/>
        <v>0</v>
      </c>
      <c r="N104" s="26">
        <f t="shared" si="30"/>
        <v>0</v>
      </c>
      <c r="O104" s="16">
        <f t="shared" si="31"/>
        <v>0</v>
      </c>
      <c r="P104" s="16">
        <f t="shared" si="25"/>
        <v>0</v>
      </c>
      <c r="Q104" s="26">
        <f t="shared" si="26"/>
        <v>0</v>
      </c>
      <c r="R104" s="26">
        <f t="shared" si="32"/>
        <v>0</v>
      </c>
      <c r="S104" s="16">
        <f t="shared" si="33"/>
        <v>0</v>
      </c>
      <c r="T104" s="16">
        <f t="shared" si="34"/>
        <v>0</v>
      </c>
      <c r="U104" s="28">
        <f t="shared" si="35"/>
        <v>0</v>
      </c>
      <c r="V104" s="28">
        <f t="shared" si="36"/>
        <v>0</v>
      </c>
      <c r="W104" s="16">
        <f t="shared" si="37"/>
        <v>0</v>
      </c>
      <c r="Y104" s="1"/>
    </row>
    <row r="105" spans="7:25" x14ac:dyDescent="0.25">
      <c r="G105">
        <v>95</v>
      </c>
      <c r="H105" s="21">
        <v>46722</v>
      </c>
      <c r="I105" s="16">
        <f t="shared" si="23"/>
        <v>0</v>
      </c>
      <c r="J105" s="16">
        <f t="shared" si="27"/>
        <v>0</v>
      </c>
      <c r="K105" s="16">
        <f t="shared" si="28"/>
        <v>0</v>
      </c>
      <c r="L105" s="16">
        <f t="shared" si="29"/>
        <v>0</v>
      </c>
      <c r="M105" s="26">
        <f t="shared" si="24"/>
        <v>0</v>
      </c>
      <c r="N105" s="26">
        <f t="shared" si="30"/>
        <v>0</v>
      </c>
      <c r="O105" s="16">
        <f t="shared" si="31"/>
        <v>0</v>
      </c>
      <c r="P105" s="16">
        <f t="shared" si="25"/>
        <v>0</v>
      </c>
      <c r="Q105" s="26">
        <f t="shared" si="26"/>
        <v>0</v>
      </c>
      <c r="R105" s="26">
        <f t="shared" si="32"/>
        <v>0</v>
      </c>
      <c r="S105" s="16">
        <f t="shared" si="33"/>
        <v>0</v>
      </c>
      <c r="T105" s="16">
        <f t="shared" si="34"/>
        <v>0</v>
      </c>
      <c r="U105" s="28">
        <f t="shared" si="35"/>
        <v>0</v>
      </c>
      <c r="V105" s="28">
        <f t="shared" si="36"/>
        <v>0</v>
      </c>
      <c r="W105" s="16">
        <f t="shared" si="37"/>
        <v>0</v>
      </c>
      <c r="Y105" s="1"/>
    </row>
    <row r="106" spans="7:25" x14ac:dyDescent="0.25">
      <c r="G106">
        <v>96</v>
      </c>
      <c r="H106" s="21">
        <v>46753</v>
      </c>
      <c r="I106" s="16">
        <f t="shared" si="23"/>
        <v>0</v>
      </c>
      <c r="J106" s="16">
        <f t="shared" si="27"/>
        <v>0</v>
      </c>
      <c r="K106" s="16">
        <f t="shared" si="28"/>
        <v>0</v>
      </c>
      <c r="L106" s="16">
        <f t="shared" si="29"/>
        <v>0</v>
      </c>
      <c r="M106" s="26">
        <f t="shared" si="24"/>
        <v>0</v>
      </c>
      <c r="N106" s="26">
        <f t="shared" si="30"/>
        <v>0</v>
      </c>
      <c r="O106" s="16">
        <f t="shared" si="31"/>
        <v>0</v>
      </c>
      <c r="P106" s="16">
        <f t="shared" si="25"/>
        <v>0</v>
      </c>
      <c r="Q106" s="26">
        <f t="shared" si="26"/>
        <v>0</v>
      </c>
      <c r="R106" s="26">
        <f t="shared" si="32"/>
        <v>0</v>
      </c>
      <c r="S106" s="16">
        <f t="shared" si="33"/>
        <v>0</v>
      </c>
      <c r="T106" s="16">
        <f t="shared" si="34"/>
        <v>0</v>
      </c>
      <c r="U106" s="28">
        <f t="shared" si="35"/>
        <v>0</v>
      </c>
      <c r="V106" s="28">
        <f t="shared" si="36"/>
        <v>0</v>
      </c>
      <c r="W106" s="16">
        <f t="shared" si="37"/>
        <v>0</v>
      </c>
      <c r="Y106" s="1"/>
    </row>
    <row r="107" spans="7:25" x14ac:dyDescent="0.25">
      <c r="G107">
        <v>97</v>
      </c>
      <c r="H107" s="21">
        <v>46784</v>
      </c>
      <c r="I107" s="16">
        <f t="shared" ref="I107:I138" si="38">IF(G107&lt;$D$14,(M107-L107-K107)*1/(1+$D$21),IF(G107=$D$14,(M107-L107-K107-$D$20)*1/(1+$D$21),0))</f>
        <v>0</v>
      </c>
      <c r="J107" s="16">
        <f t="shared" si="27"/>
        <v>0</v>
      </c>
      <c r="K107" s="16">
        <f t="shared" si="28"/>
        <v>0</v>
      </c>
      <c r="L107" s="16">
        <f t="shared" si="29"/>
        <v>0</v>
      </c>
      <c r="M107" s="26">
        <f t="shared" ref="M107:M138" si="39">IF(G107&lt;=$D$14,-$D$25,0)+IF(G107=$D$14,$D$20,0)</f>
        <v>0</v>
      </c>
      <c r="N107" s="26">
        <f t="shared" si="30"/>
        <v>0</v>
      </c>
      <c r="O107" s="16">
        <f t="shared" si="31"/>
        <v>0</v>
      </c>
      <c r="P107" s="16">
        <f t="shared" ref="P107:P138" si="40">IF($D$32="нет",0,J107+L107+IF(G107=$D$14,$D$20*$D$21/(1+$D$21),0))</f>
        <v>0</v>
      </c>
      <c r="Q107" s="26">
        <f t="shared" ref="Q107:Q138" si="41">IF(G107&lt;=$D$14,M107-P107,0)</f>
        <v>0</v>
      </c>
      <c r="R107" s="26">
        <f t="shared" si="32"/>
        <v>0</v>
      </c>
      <c r="S107" s="16">
        <f t="shared" si="33"/>
        <v>0</v>
      </c>
      <c r="T107" s="16">
        <f t="shared" si="34"/>
        <v>0</v>
      </c>
      <c r="U107" s="28">
        <f t="shared" si="35"/>
        <v>0</v>
      </c>
      <c r="V107" s="28">
        <f t="shared" si="36"/>
        <v>0</v>
      </c>
      <c r="W107" s="16">
        <f t="shared" si="37"/>
        <v>0</v>
      </c>
      <c r="Y107" s="1"/>
    </row>
    <row r="108" spans="7:25" x14ac:dyDescent="0.25">
      <c r="G108">
        <v>98</v>
      </c>
      <c r="H108" s="21">
        <v>46813</v>
      </c>
      <c r="I108" s="16">
        <f t="shared" si="38"/>
        <v>0</v>
      </c>
      <c r="J108" s="16">
        <f t="shared" si="27"/>
        <v>0</v>
      </c>
      <c r="K108" s="16">
        <f t="shared" ref="K108:K139" si="42">IF(G108&lt;=$D$14,O107*$D$17,0)</f>
        <v>0</v>
      </c>
      <c r="L108" s="16">
        <f t="shared" si="29"/>
        <v>0</v>
      </c>
      <c r="M108" s="26">
        <f t="shared" si="39"/>
        <v>0</v>
      </c>
      <c r="N108" s="26">
        <f t="shared" si="30"/>
        <v>0</v>
      </c>
      <c r="O108" s="16">
        <f t="shared" ref="O108:O139" si="43">IF(G108&lt;$D$14,O107-I108-J108,0)</f>
        <v>0</v>
      </c>
      <c r="P108" s="16">
        <f t="shared" si="40"/>
        <v>0</v>
      </c>
      <c r="Q108" s="26">
        <f t="shared" si="41"/>
        <v>0</v>
      </c>
      <c r="R108" s="26">
        <f t="shared" si="32"/>
        <v>0</v>
      </c>
      <c r="S108" s="16">
        <f t="shared" si="33"/>
        <v>0</v>
      </c>
      <c r="T108" s="16">
        <f t="shared" si="34"/>
        <v>0</v>
      </c>
      <c r="U108" s="28">
        <f t="shared" si="35"/>
        <v>0</v>
      </c>
      <c r="V108" s="28">
        <f t="shared" si="36"/>
        <v>0</v>
      </c>
      <c r="W108" s="16">
        <f t="shared" ref="W108:W139" si="44">IF(G108&lt;=$D$14,O107*$D$23,0)</f>
        <v>0</v>
      </c>
      <c r="Y108" s="1"/>
    </row>
    <row r="109" spans="7:25" x14ac:dyDescent="0.25">
      <c r="G109">
        <v>99</v>
      </c>
      <c r="H109" s="21">
        <v>46844</v>
      </c>
      <c r="I109" s="16">
        <f t="shared" si="38"/>
        <v>0</v>
      </c>
      <c r="J109" s="16">
        <f t="shared" si="27"/>
        <v>0</v>
      </c>
      <c r="K109" s="16">
        <f t="shared" si="42"/>
        <v>0</v>
      </c>
      <c r="L109" s="16">
        <f t="shared" si="29"/>
        <v>0</v>
      </c>
      <c r="M109" s="26">
        <f t="shared" si="39"/>
        <v>0</v>
      </c>
      <c r="N109" s="26">
        <f t="shared" si="30"/>
        <v>0</v>
      </c>
      <c r="O109" s="16">
        <f t="shared" si="43"/>
        <v>0</v>
      </c>
      <c r="P109" s="16">
        <f t="shared" si="40"/>
        <v>0</v>
      </c>
      <c r="Q109" s="26">
        <f t="shared" si="41"/>
        <v>0</v>
      </c>
      <c r="R109" s="26">
        <f t="shared" si="32"/>
        <v>0</v>
      </c>
      <c r="S109" s="16">
        <f t="shared" si="33"/>
        <v>0</v>
      </c>
      <c r="T109" s="16">
        <f t="shared" si="34"/>
        <v>0</v>
      </c>
      <c r="U109" s="28">
        <f t="shared" si="35"/>
        <v>0</v>
      </c>
      <c r="V109" s="28">
        <f t="shared" si="36"/>
        <v>0</v>
      </c>
      <c r="W109" s="16">
        <f t="shared" si="44"/>
        <v>0</v>
      </c>
      <c r="Y109" s="1"/>
    </row>
    <row r="110" spans="7:25" x14ac:dyDescent="0.25">
      <c r="G110">
        <v>100</v>
      </c>
      <c r="H110" s="21">
        <v>46874</v>
      </c>
      <c r="I110" s="16">
        <f t="shared" si="38"/>
        <v>0</v>
      </c>
      <c r="J110" s="16">
        <f t="shared" si="27"/>
        <v>0</v>
      </c>
      <c r="K110" s="16">
        <f t="shared" si="42"/>
        <v>0</v>
      </c>
      <c r="L110" s="16">
        <f t="shared" si="29"/>
        <v>0</v>
      </c>
      <c r="M110" s="26">
        <f t="shared" si="39"/>
        <v>0</v>
      </c>
      <c r="N110" s="26">
        <f t="shared" si="30"/>
        <v>0</v>
      </c>
      <c r="O110" s="16">
        <f t="shared" si="43"/>
        <v>0</v>
      </c>
      <c r="P110" s="16">
        <f t="shared" si="40"/>
        <v>0</v>
      </c>
      <c r="Q110" s="26">
        <f t="shared" si="41"/>
        <v>0</v>
      </c>
      <c r="R110" s="26">
        <f t="shared" si="32"/>
        <v>0</v>
      </c>
      <c r="S110" s="16">
        <f t="shared" si="33"/>
        <v>0</v>
      </c>
      <c r="T110" s="16">
        <f t="shared" si="34"/>
        <v>0</v>
      </c>
      <c r="U110" s="28">
        <f t="shared" si="35"/>
        <v>0</v>
      </c>
      <c r="V110" s="28">
        <f t="shared" si="36"/>
        <v>0</v>
      </c>
      <c r="W110" s="16">
        <f t="shared" si="44"/>
        <v>0</v>
      </c>
      <c r="Y110" s="1"/>
    </row>
    <row r="111" spans="7:25" x14ac:dyDescent="0.25">
      <c r="G111">
        <v>101</v>
      </c>
      <c r="H111" s="21">
        <v>46905</v>
      </c>
      <c r="I111" s="16">
        <f t="shared" si="38"/>
        <v>0</v>
      </c>
      <c r="J111" s="16">
        <f t="shared" si="27"/>
        <v>0</v>
      </c>
      <c r="K111" s="16">
        <f t="shared" si="42"/>
        <v>0</v>
      </c>
      <c r="L111" s="16">
        <f t="shared" si="29"/>
        <v>0</v>
      </c>
      <c r="M111" s="26">
        <f t="shared" si="39"/>
        <v>0</v>
      </c>
      <c r="N111" s="26">
        <f t="shared" si="30"/>
        <v>0</v>
      </c>
      <c r="O111" s="16">
        <f t="shared" si="43"/>
        <v>0</v>
      </c>
      <c r="P111" s="16">
        <f t="shared" si="40"/>
        <v>0</v>
      </c>
      <c r="Q111" s="26">
        <f t="shared" si="41"/>
        <v>0</v>
      </c>
      <c r="R111" s="26">
        <f t="shared" si="32"/>
        <v>0</v>
      </c>
      <c r="S111" s="16">
        <f t="shared" si="33"/>
        <v>0</v>
      </c>
      <c r="T111" s="16">
        <f t="shared" si="34"/>
        <v>0</v>
      </c>
      <c r="U111" s="28">
        <f t="shared" si="35"/>
        <v>0</v>
      </c>
      <c r="V111" s="28">
        <f t="shared" si="36"/>
        <v>0</v>
      </c>
      <c r="W111" s="16">
        <f t="shared" si="44"/>
        <v>0</v>
      </c>
      <c r="Y111" s="1"/>
    </row>
    <row r="112" spans="7:25" x14ac:dyDescent="0.25">
      <c r="G112">
        <v>102</v>
      </c>
      <c r="H112" s="21">
        <v>46935</v>
      </c>
      <c r="I112" s="16">
        <f t="shared" si="38"/>
        <v>0</v>
      </c>
      <c r="J112" s="16">
        <f t="shared" si="27"/>
        <v>0</v>
      </c>
      <c r="K112" s="16">
        <f t="shared" si="42"/>
        <v>0</v>
      </c>
      <c r="L112" s="16">
        <f t="shared" si="29"/>
        <v>0</v>
      </c>
      <c r="M112" s="26">
        <f t="shared" si="39"/>
        <v>0</v>
      </c>
      <c r="N112" s="26">
        <f t="shared" si="30"/>
        <v>0</v>
      </c>
      <c r="O112" s="16">
        <f t="shared" si="43"/>
        <v>0</v>
      </c>
      <c r="P112" s="16">
        <f t="shared" si="40"/>
        <v>0</v>
      </c>
      <c r="Q112" s="26">
        <f t="shared" si="41"/>
        <v>0</v>
      </c>
      <c r="R112" s="26">
        <f t="shared" si="32"/>
        <v>0</v>
      </c>
      <c r="S112" s="16">
        <f t="shared" si="33"/>
        <v>0</v>
      </c>
      <c r="T112" s="16">
        <f t="shared" si="34"/>
        <v>0</v>
      </c>
      <c r="U112" s="28">
        <f t="shared" si="35"/>
        <v>0</v>
      </c>
      <c r="V112" s="28">
        <f t="shared" si="36"/>
        <v>0</v>
      </c>
      <c r="W112" s="16">
        <f t="shared" si="44"/>
        <v>0</v>
      </c>
      <c r="Y112" s="1"/>
    </row>
    <row r="113" spans="7:25" x14ac:dyDescent="0.25">
      <c r="G113">
        <v>103</v>
      </c>
      <c r="H113" s="21">
        <v>46966</v>
      </c>
      <c r="I113" s="16">
        <f t="shared" si="38"/>
        <v>0</v>
      </c>
      <c r="J113" s="16">
        <f t="shared" si="27"/>
        <v>0</v>
      </c>
      <c r="K113" s="16">
        <f t="shared" si="42"/>
        <v>0</v>
      </c>
      <c r="L113" s="16">
        <f t="shared" si="29"/>
        <v>0</v>
      </c>
      <c r="M113" s="26">
        <f t="shared" si="39"/>
        <v>0</v>
      </c>
      <c r="N113" s="26">
        <f t="shared" si="30"/>
        <v>0</v>
      </c>
      <c r="O113" s="16">
        <f t="shared" si="43"/>
        <v>0</v>
      </c>
      <c r="P113" s="16">
        <f t="shared" si="40"/>
        <v>0</v>
      </c>
      <c r="Q113" s="26">
        <f t="shared" si="41"/>
        <v>0</v>
      </c>
      <c r="R113" s="26">
        <f t="shared" si="32"/>
        <v>0</v>
      </c>
      <c r="S113" s="16">
        <f t="shared" si="33"/>
        <v>0</v>
      </c>
      <c r="T113" s="16">
        <f t="shared" si="34"/>
        <v>0</v>
      </c>
      <c r="U113" s="28">
        <f t="shared" si="35"/>
        <v>0</v>
      </c>
      <c r="V113" s="28">
        <f t="shared" si="36"/>
        <v>0</v>
      </c>
      <c r="W113" s="16">
        <f t="shared" si="44"/>
        <v>0</v>
      </c>
      <c r="Y113" s="1"/>
    </row>
    <row r="114" spans="7:25" x14ac:dyDescent="0.25">
      <c r="G114">
        <v>104</v>
      </c>
      <c r="H114" s="21">
        <v>46997</v>
      </c>
      <c r="I114" s="16">
        <f t="shared" si="38"/>
        <v>0</v>
      </c>
      <c r="J114" s="16">
        <f t="shared" si="27"/>
        <v>0</v>
      </c>
      <c r="K114" s="16">
        <f t="shared" si="42"/>
        <v>0</v>
      </c>
      <c r="L114" s="16">
        <f t="shared" si="29"/>
        <v>0</v>
      </c>
      <c r="M114" s="26">
        <f t="shared" si="39"/>
        <v>0</v>
      </c>
      <c r="N114" s="26">
        <f t="shared" si="30"/>
        <v>0</v>
      </c>
      <c r="O114" s="16">
        <f t="shared" si="43"/>
        <v>0</v>
      </c>
      <c r="P114" s="16">
        <f t="shared" si="40"/>
        <v>0</v>
      </c>
      <c r="Q114" s="26">
        <f t="shared" si="41"/>
        <v>0</v>
      </c>
      <c r="R114" s="26">
        <f t="shared" si="32"/>
        <v>0</v>
      </c>
      <c r="S114" s="16">
        <f t="shared" si="33"/>
        <v>0</v>
      </c>
      <c r="T114" s="16">
        <f t="shared" si="34"/>
        <v>0</v>
      </c>
      <c r="U114" s="28">
        <f t="shared" si="35"/>
        <v>0</v>
      </c>
      <c r="V114" s="28">
        <f t="shared" si="36"/>
        <v>0</v>
      </c>
      <c r="W114" s="16">
        <f t="shared" si="44"/>
        <v>0</v>
      </c>
      <c r="Y114" s="1"/>
    </row>
    <row r="115" spans="7:25" x14ac:dyDescent="0.25">
      <c r="G115">
        <v>105</v>
      </c>
      <c r="H115" s="21">
        <v>47027</v>
      </c>
      <c r="I115" s="16">
        <f t="shared" si="38"/>
        <v>0</v>
      </c>
      <c r="J115" s="16">
        <f t="shared" si="27"/>
        <v>0</v>
      </c>
      <c r="K115" s="16">
        <f t="shared" si="42"/>
        <v>0</v>
      </c>
      <c r="L115" s="16">
        <f t="shared" si="29"/>
        <v>0</v>
      </c>
      <c r="M115" s="26">
        <f t="shared" si="39"/>
        <v>0</v>
      </c>
      <c r="N115" s="26">
        <f t="shared" si="30"/>
        <v>0</v>
      </c>
      <c r="O115" s="16">
        <f t="shared" si="43"/>
        <v>0</v>
      </c>
      <c r="P115" s="16">
        <f t="shared" si="40"/>
        <v>0</v>
      </c>
      <c r="Q115" s="26">
        <f t="shared" si="41"/>
        <v>0</v>
      </c>
      <c r="R115" s="26">
        <f t="shared" si="32"/>
        <v>0</v>
      </c>
      <c r="S115" s="16">
        <f t="shared" si="33"/>
        <v>0</v>
      </c>
      <c r="T115" s="16">
        <f t="shared" si="34"/>
        <v>0</v>
      </c>
      <c r="U115" s="28">
        <f t="shared" si="35"/>
        <v>0</v>
      </c>
      <c r="V115" s="28">
        <f t="shared" si="36"/>
        <v>0</v>
      </c>
      <c r="W115" s="16">
        <f t="shared" si="44"/>
        <v>0</v>
      </c>
      <c r="Y115" s="1"/>
    </row>
    <row r="116" spans="7:25" x14ac:dyDescent="0.25">
      <c r="G116">
        <v>106</v>
      </c>
      <c r="H116" s="21">
        <v>47058</v>
      </c>
      <c r="I116" s="16">
        <f t="shared" si="38"/>
        <v>0</v>
      </c>
      <c r="J116" s="16">
        <f t="shared" si="27"/>
        <v>0</v>
      </c>
      <c r="K116" s="16">
        <f t="shared" si="42"/>
        <v>0</v>
      </c>
      <c r="L116" s="16">
        <f t="shared" si="29"/>
        <v>0</v>
      </c>
      <c r="M116" s="26">
        <f t="shared" si="39"/>
        <v>0</v>
      </c>
      <c r="N116" s="26">
        <f t="shared" si="30"/>
        <v>0</v>
      </c>
      <c r="O116" s="16">
        <f t="shared" si="43"/>
        <v>0</v>
      </c>
      <c r="P116" s="16">
        <f t="shared" si="40"/>
        <v>0</v>
      </c>
      <c r="Q116" s="26">
        <f t="shared" si="41"/>
        <v>0</v>
      </c>
      <c r="R116" s="26">
        <f t="shared" si="32"/>
        <v>0</v>
      </c>
      <c r="S116" s="16">
        <f t="shared" si="33"/>
        <v>0</v>
      </c>
      <c r="T116" s="16">
        <f t="shared" si="34"/>
        <v>0</v>
      </c>
      <c r="U116" s="28">
        <f t="shared" si="35"/>
        <v>0</v>
      </c>
      <c r="V116" s="28">
        <f t="shared" si="36"/>
        <v>0</v>
      </c>
      <c r="W116" s="16">
        <f t="shared" si="44"/>
        <v>0</v>
      </c>
      <c r="Y116" s="1"/>
    </row>
    <row r="117" spans="7:25" x14ac:dyDescent="0.25">
      <c r="G117">
        <v>107</v>
      </c>
      <c r="H117" s="21">
        <v>47088</v>
      </c>
      <c r="I117" s="16">
        <f t="shared" si="38"/>
        <v>0</v>
      </c>
      <c r="J117" s="16">
        <f t="shared" si="27"/>
        <v>0</v>
      </c>
      <c r="K117" s="16">
        <f t="shared" si="42"/>
        <v>0</v>
      </c>
      <c r="L117" s="16">
        <f t="shared" si="29"/>
        <v>0</v>
      </c>
      <c r="M117" s="26">
        <f t="shared" si="39"/>
        <v>0</v>
      </c>
      <c r="N117" s="26">
        <f t="shared" si="30"/>
        <v>0</v>
      </c>
      <c r="O117" s="16">
        <f t="shared" si="43"/>
        <v>0</v>
      </c>
      <c r="P117" s="16">
        <f t="shared" si="40"/>
        <v>0</v>
      </c>
      <c r="Q117" s="26">
        <f t="shared" si="41"/>
        <v>0</v>
      </c>
      <c r="R117" s="26">
        <f t="shared" si="32"/>
        <v>0</v>
      </c>
      <c r="S117" s="16">
        <f t="shared" si="33"/>
        <v>0</v>
      </c>
      <c r="T117" s="16">
        <f t="shared" si="34"/>
        <v>0</v>
      </c>
      <c r="U117" s="28">
        <f t="shared" si="35"/>
        <v>0</v>
      </c>
      <c r="V117" s="28">
        <f t="shared" si="36"/>
        <v>0</v>
      </c>
      <c r="W117" s="16">
        <f t="shared" si="44"/>
        <v>0</v>
      </c>
      <c r="Y117" s="1"/>
    </row>
    <row r="118" spans="7:25" x14ac:dyDescent="0.25">
      <c r="G118">
        <v>108</v>
      </c>
      <c r="H118" s="21">
        <v>47119</v>
      </c>
      <c r="I118" s="16">
        <f t="shared" si="38"/>
        <v>0</v>
      </c>
      <c r="J118" s="16">
        <f t="shared" si="27"/>
        <v>0</v>
      </c>
      <c r="K118" s="16">
        <f t="shared" si="42"/>
        <v>0</v>
      </c>
      <c r="L118" s="16">
        <f t="shared" si="29"/>
        <v>0</v>
      </c>
      <c r="M118" s="26">
        <f t="shared" si="39"/>
        <v>0</v>
      </c>
      <c r="N118" s="26">
        <f t="shared" si="30"/>
        <v>0</v>
      </c>
      <c r="O118" s="16">
        <f t="shared" si="43"/>
        <v>0</v>
      </c>
      <c r="P118" s="16">
        <f t="shared" si="40"/>
        <v>0</v>
      </c>
      <c r="Q118" s="26">
        <f t="shared" si="41"/>
        <v>0</v>
      </c>
      <c r="R118" s="26">
        <f t="shared" si="32"/>
        <v>0</v>
      </c>
      <c r="S118" s="16">
        <f t="shared" si="33"/>
        <v>0</v>
      </c>
      <c r="T118" s="16">
        <f t="shared" si="34"/>
        <v>0</v>
      </c>
      <c r="U118" s="28">
        <f t="shared" si="35"/>
        <v>0</v>
      </c>
      <c r="V118" s="28">
        <f t="shared" si="36"/>
        <v>0</v>
      </c>
      <c r="W118" s="16">
        <f t="shared" si="44"/>
        <v>0</v>
      </c>
      <c r="Y118" s="1"/>
    </row>
    <row r="119" spans="7:25" x14ac:dyDescent="0.25">
      <c r="G119">
        <v>109</v>
      </c>
      <c r="H119" s="21">
        <v>47150</v>
      </c>
      <c r="I119" s="16">
        <f t="shared" si="38"/>
        <v>0</v>
      </c>
      <c r="J119" s="16">
        <f t="shared" si="27"/>
        <v>0</v>
      </c>
      <c r="K119" s="16">
        <f t="shared" si="42"/>
        <v>0</v>
      </c>
      <c r="L119" s="16">
        <f t="shared" si="29"/>
        <v>0</v>
      </c>
      <c r="M119" s="26">
        <f t="shared" si="39"/>
        <v>0</v>
      </c>
      <c r="N119" s="26">
        <f t="shared" si="30"/>
        <v>0</v>
      </c>
      <c r="O119" s="16">
        <f t="shared" si="43"/>
        <v>0</v>
      </c>
      <c r="P119" s="16">
        <f t="shared" si="40"/>
        <v>0</v>
      </c>
      <c r="Q119" s="26">
        <f t="shared" si="41"/>
        <v>0</v>
      </c>
      <c r="R119" s="26">
        <f t="shared" si="32"/>
        <v>0</v>
      </c>
      <c r="S119" s="16">
        <f t="shared" si="33"/>
        <v>0</v>
      </c>
      <c r="T119" s="16">
        <f t="shared" si="34"/>
        <v>0</v>
      </c>
      <c r="U119" s="28">
        <f t="shared" si="35"/>
        <v>0</v>
      </c>
      <c r="V119" s="28">
        <f t="shared" si="36"/>
        <v>0</v>
      </c>
      <c r="W119" s="16">
        <f t="shared" si="44"/>
        <v>0</v>
      </c>
      <c r="Y119" s="1"/>
    </row>
    <row r="120" spans="7:25" x14ac:dyDescent="0.25">
      <c r="G120">
        <v>110</v>
      </c>
      <c r="H120" s="21">
        <v>47178</v>
      </c>
      <c r="I120" s="16">
        <f t="shared" si="38"/>
        <v>0</v>
      </c>
      <c r="J120" s="16">
        <f t="shared" si="27"/>
        <v>0</v>
      </c>
      <c r="K120" s="16">
        <f t="shared" si="42"/>
        <v>0</v>
      </c>
      <c r="L120" s="16">
        <f t="shared" si="29"/>
        <v>0</v>
      </c>
      <c r="M120" s="26">
        <f t="shared" si="39"/>
        <v>0</v>
      </c>
      <c r="N120" s="26">
        <f t="shared" si="30"/>
        <v>0</v>
      </c>
      <c r="O120" s="16">
        <f t="shared" si="43"/>
        <v>0</v>
      </c>
      <c r="P120" s="16">
        <f t="shared" si="40"/>
        <v>0</v>
      </c>
      <c r="Q120" s="26">
        <f t="shared" si="41"/>
        <v>0</v>
      </c>
      <c r="R120" s="26">
        <f t="shared" si="32"/>
        <v>0</v>
      </c>
      <c r="S120" s="16">
        <f t="shared" si="33"/>
        <v>0</v>
      </c>
      <c r="T120" s="16">
        <f t="shared" si="34"/>
        <v>0</v>
      </c>
      <c r="U120" s="28">
        <f t="shared" si="35"/>
        <v>0</v>
      </c>
      <c r="V120" s="28">
        <f t="shared" si="36"/>
        <v>0</v>
      </c>
      <c r="W120" s="16">
        <f t="shared" si="44"/>
        <v>0</v>
      </c>
      <c r="Y120" s="1"/>
    </row>
    <row r="121" spans="7:25" x14ac:dyDescent="0.25">
      <c r="G121">
        <v>111</v>
      </c>
      <c r="H121" s="21">
        <v>47209</v>
      </c>
      <c r="I121" s="16">
        <f t="shared" si="38"/>
        <v>0</v>
      </c>
      <c r="J121" s="16">
        <f t="shared" si="27"/>
        <v>0</v>
      </c>
      <c r="K121" s="16">
        <f t="shared" si="42"/>
        <v>0</v>
      </c>
      <c r="L121" s="16">
        <f t="shared" si="29"/>
        <v>0</v>
      </c>
      <c r="M121" s="26">
        <f t="shared" si="39"/>
        <v>0</v>
      </c>
      <c r="N121" s="26">
        <f t="shared" si="30"/>
        <v>0</v>
      </c>
      <c r="O121" s="16">
        <f t="shared" si="43"/>
        <v>0</v>
      </c>
      <c r="P121" s="16">
        <f t="shared" si="40"/>
        <v>0</v>
      </c>
      <c r="Q121" s="26">
        <f t="shared" si="41"/>
        <v>0</v>
      </c>
      <c r="R121" s="26">
        <f t="shared" si="32"/>
        <v>0</v>
      </c>
      <c r="S121" s="16">
        <f t="shared" si="33"/>
        <v>0</v>
      </c>
      <c r="T121" s="16">
        <f t="shared" si="34"/>
        <v>0</v>
      </c>
      <c r="U121" s="28">
        <f t="shared" si="35"/>
        <v>0</v>
      </c>
      <c r="V121" s="28">
        <f t="shared" si="36"/>
        <v>0</v>
      </c>
      <c r="W121" s="16">
        <f t="shared" si="44"/>
        <v>0</v>
      </c>
      <c r="Y121" s="1"/>
    </row>
    <row r="122" spans="7:25" x14ac:dyDescent="0.25">
      <c r="G122">
        <v>112</v>
      </c>
      <c r="H122" s="21">
        <v>47239</v>
      </c>
      <c r="I122" s="16">
        <f t="shared" si="38"/>
        <v>0</v>
      </c>
      <c r="J122" s="16">
        <f t="shared" si="27"/>
        <v>0</v>
      </c>
      <c r="K122" s="16">
        <f t="shared" si="42"/>
        <v>0</v>
      </c>
      <c r="L122" s="16">
        <f t="shared" si="29"/>
        <v>0</v>
      </c>
      <c r="M122" s="26">
        <f t="shared" si="39"/>
        <v>0</v>
      </c>
      <c r="N122" s="26">
        <f t="shared" si="30"/>
        <v>0</v>
      </c>
      <c r="O122" s="16">
        <f t="shared" si="43"/>
        <v>0</v>
      </c>
      <c r="P122" s="16">
        <f t="shared" si="40"/>
        <v>0</v>
      </c>
      <c r="Q122" s="26">
        <f t="shared" si="41"/>
        <v>0</v>
      </c>
      <c r="R122" s="26">
        <f t="shared" si="32"/>
        <v>0</v>
      </c>
      <c r="S122" s="16">
        <f t="shared" si="33"/>
        <v>0</v>
      </c>
      <c r="T122" s="16">
        <f t="shared" si="34"/>
        <v>0</v>
      </c>
      <c r="U122" s="28">
        <f t="shared" si="35"/>
        <v>0</v>
      </c>
      <c r="V122" s="28">
        <f t="shared" si="36"/>
        <v>0</v>
      </c>
      <c r="W122" s="16">
        <f t="shared" si="44"/>
        <v>0</v>
      </c>
      <c r="Y122" s="1"/>
    </row>
    <row r="123" spans="7:25" x14ac:dyDescent="0.25">
      <c r="G123">
        <v>113</v>
      </c>
      <c r="H123" s="21">
        <v>47270</v>
      </c>
      <c r="I123" s="16">
        <f t="shared" si="38"/>
        <v>0</v>
      </c>
      <c r="J123" s="16">
        <f t="shared" si="27"/>
        <v>0</v>
      </c>
      <c r="K123" s="16">
        <f t="shared" si="42"/>
        <v>0</v>
      </c>
      <c r="L123" s="16">
        <f t="shared" si="29"/>
        <v>0</v>
      </c>
      <c r="M123" s="26">
        <f t="shared" si="39"/>
        <v>0</v>
      </c>
      <c r="N123" s="26">
        <f t="shared" si="30"/>
        <v>0</v>
      </c>
      <c r="O123" s="16">
        <f t="shared" si="43"/>
        <v>0</v>
      </c>
      <c r="P123" s="16">
        <f t="shared" si="40"/>
        <v>0</v>
      </c>
      <c r="Q123" s="26">
        <f t="shared" si="41"/>
        <v>0</v>
      </c>
      <c r="R123" s="26">
        <f t="shared" si="32"/>
        <v>0</v>
      </c>
      <c r="S123" s="16">
        <f t="shared" si="33"/>
        <v>0</v>
      </c>
      <c r="T123" s="16">
        <f t="shared" si="34"/>
        <v>0</v>
      </c>
      <c r="U123" s="28">
        <f t="shared" si="35"/>
        <v>0</v>
      </c>
      <c r="V123" s="28">
        <f t="shared" si="36"/>
        <v>0</v>
      </c>
      <c r="W123" s="16">
        <f t="shared" si="44"/>
        <v>0</v>
      </c>
      <c r="Y123" s="1"/>
    </row>
    <row r="124" spans="7:25" x14ac:dyDescent="0.25">
      <c r="G124">
        <v>114</v>
      </c>
      <c r="H124" s="21">
        <v>47300</v>
      </c>
      <c r="I124" s="16">
        <f t="shared" si="38"/>
        <v>0</v>
      </c>
      <c r="J124" s="16">
        <f t="shared" si="27"/>
        <v>0</v>
      </c>
      <c r="K124" s="16">
        <f t="shared" si="42"/>
        <v>0</v>
      </c>
      <c r="L124" s="16">
        <f t="shared" si="29"/>
        <v>0</v>
      </c>
      <c r="M124" s="26">
        <f t="shared" si="39"/>
        <v>0</v>
      </c>
      <c r="N124" s="26">
        <f t="shared" si="30"/>
        <v>0</v>
      </c>
      <c r="O124" s="16">
        <f t="shared" si="43"/>
        <v>0</v>
      </c>
      <c r="P124" s="16">
        <f t="shared" si="40"/>
        <v>0</v>
      </c>
      <c r="Q124" s="26">
        <f t="shared" si="41"/>
        <v>0</v>
      </c>
      <c r="R124" s="26">
        <f t="shared" si="32"/>
        <v>0</v>
      </c>
      <c r="S124" s="16">
        <f t="shared" si="33"/>
        <v>0</v>
      </c>
      <c r="T124" s="16">
        <f t="shared" si="34"/>
        <v>0</v>
      </c>
      <c r="U124" s="28">
        <f t="shared" si="35"/>
        <v>0</v>
      </c>
      <c r="V124" s="28">
        <f t="shared" si="36"/>
        <v>0</v>
      </c>
      <c r="W124" s="16">
        <f t="shared" si="44"/>
        <v>0</v>
      </c>
      <c r="Y124" s="1"/>
    </row>
    <row r="125" spans="7:25" x14ac:dyDescent="0.25">
      <c r="G125">
        <v>115</v>
      </c>
      <c r="H125" s="21">
        <v>47331</v>
      </c>
      <c r="I125" s="16">
        <f t="shared" si="38"/>
        <v>0</v>
      </c>
      <c r="J125" s="16">
        <f t="shared" si="27"/>
        <v>0</v>
      </c>
      <c r="K125" s="16">
        <f t="shared" si="42"/>
        <v>0</v>
      </c>
      <c r="L125" s="16">
        <f t="shared" si="29"/>
        <v>0</v>
      </c>
      <c r="M125" s="26">
        <f t="shared" si="39"/>
        <v>0</v>
      </c>
      <c r="N125" s="26">
        <f t="shared" si="30"/>
        <v>0</v>
      </c>
      <c r="O125" s="16">
        <f t="shared" si="43"/>
        <v>0</v>
      </c>
      <c r="P125" s="16">
        <f t="shared" si="40"/>
        <v>0</v>
      </c>
      <c r="Q125" s="26">
        <f t="shared" si="41"/>
        <v>0</v>
      </c>
      <c r="R125" s="26">
        <f t="shared" si="32"/>
        <v>0</v>
      </c>
      <c r="S125" s="16">
        <f t="shared" si="33"/>
        <v>0</v>
      </c>
      <c r="T125" s="16">
        <f t="shared" si="34"/>
        <v>0</v>
      </c>
      <c r="U125" s="28">
        <f t="shared" si="35"/>
        <v>0</v>
      </c>
      <c r="V125" s="28">
        <f t="shared" si="36"/>
        <v>0</v>
      </c>
      <c r="W125" s="16">
        <f t="shared" si="44"/>
        <v>0</v>
      </c>
      <c r="Y125" s="1"/>
    </row>
    <row r="126" spans="7:25" x14ac:dyDescent="0.25">
      <c r="G126">
        <v>116</v>
      </c>
      <c r="H126" s="21">
        <v>47362</v>
      </c>
      <c r="I126" s="16">
        <f t="shared" si="38"/>
        <v>0</v>
      </c>
      <c r="J126" s="16">
        <f t="shared" si="27"/>
        <v>0</v>
      </c>
      <c r="K126" s="16">
        <f t="shared" si="42"/>
        <v>0</v>
      </c>
      <c r="L126" s="16">
        <f t="shared" si="29"/>
        <v>0</v>
      </c>
      <c r="M126" s="26">
        <f t="shared" si="39"/>
        <v>0</v>
      </c>
      <c r="N126" s="26">
        <f t="shared" si="30"/>
        <v>0</v>
      </c>
      <c r="O126" s="16">
        <f t="shared" si="43"/>
        <v>0</v>
      </c>
      <c r="P126" s="16">
        <f t="shared" si="40"/>
        <v>0</v>
      </c>
      <c r="Q126" s="26">
        <f t="shared" si="41"/>
        <v>0</v>
      </c>
      <c r="R126" s="26">
        <f t="shared" si="32"/>
        <v>0</v>
      </c>
      <c r="S126" s="16">
        <f t="shared" si="33"/>
        <v>0</v>
      </c>
      <c r="T126" s="16">
        <f t="shared" si="34"/>
        <v>0</v>
      </c>
      <c r="U126" s="28">
        <f t="shared" si="35"/>
        <v>0</v>
      </c>
      <c r="V126" s="28">
        <f t="shared" si="36"/>
        <v>0</v>
      </c>
      <c r="W126" s="16">
        <f t="shared" si="44"/>
        <v>0</v>
      </c>
      <c r="Y126" s="1"/>
    </row>
    <row r="127" spans="7:25" x14ac:dyDescent="0.25">
      <c r="G127">
        <v>117</v>
      </c>
      <c r="H127" s="21">
        <v>47392</v>
      </c>
      <c r="I127" s="16">
        <f t="shared" si="38"/>
        <v>0</v>
      </c>
      <c r="J127" s="16">
        <f t="shared" si="27"/>
        <v>0</v>
      </c>
      <c r="K127" s="16">
        <f t="shared" si="42"/>
        <v>0</v>
      </c>
      <c r="L127" s="16">
        <f t="shared" si="29"/>
        <v>0</v>
      </c>
      <c r="M127" s="26">
        <f t="shared" si="39"/>
        <v>0</v>
      </c>
      <c r="N127" s="26">
        <f t="shared" si="30"/>
        <v>0</v>
      </c>
      <c r="O127" s="16">
        <f t="shared" si="43"/>
        <v>0</v>
      </c>
      <c r="P127" s="16">
        <f t="shared" si="40"/>
        <v>0</v>
      </c>
      <c r="Q127" s="26">
        <f t="shared" si="41"/>
        <v>0</v>
      </c>
      <c r="R127" s="26">
        <f t="shared" si="32"/>
        <v>0</v>
      </c>
      <c r="S127" s="16">
        <f t="shared" si="33"/>
        <v>0</v>
      </c>
      <c r="T127" s="16">
        <f t="shared" si="34"/>
        <v>0</v>
      </c>
      <c r="U127" s="28">
        <f t="shared" si="35"/>
        <v>0</v>
      </c>
      <c r="V127" s="28">
        <f t="shared" si="36"/>
        <v>0</v>
      </c>
      <c r="W127" s="16">
        <f t="shared" si="44"/>
        <v>0</v>
      </c>
      <c r="Y127" s="1"/>
    </row>
    <row r="128" spans="7:25" x14ac:dyDescent="0.25">
      <c r="G128">
        <v>118</v>
      </c>
      <c r="H128" s="21">
        <v>47423</v>
      </c>
      <c r="I128" s="16">
        <f t="shared" si="38"/>
        <v>0</v>
      </c>
      <c r="J128" s="16">
        <f t="shared" si="27"/>
        <v>0</v>
      </c>
      <c r="K128" s="16">
        <f t="shared" si="42"/>
        <v>0</v>
      </c>
      <c r="L128" s="16">
        <f t="shared" si="29"/>
        <v>0</v>
      </c>
      <c r="M128" s="26">
        <f t="shared" si="39"/>
        <v>0</v>
      </c>
      <c r="N128" s="26">
        <f t="shared" si="30"/>
        <v>0</v>
      </c>
      <c r="O128" s="16">
        <f t="shared" si="43"/>
        <v>0</v>
      </c>
      <c r="P128" s="16">
        <f t="shared" si="40"/>
        <v>0</v>
      </c>
      <c r="Q128" s="26">
        <f t="shared" si="41"/>
        <v>0</v>
      </c>
      <c r="R128" s="26">
        <f t="shared" si="32"/>
        <v>0</v>
      </c>
      <c r="S128" s="16">
        <f t="shared" si="33"/>
        <v>0</v>
      </c>
      <c r="T128" s="16">
        <f t="shared" si="34"/>
        <v>0</v>
      </c>
      <c r="U128" s="28">
        <f t="shared" si="35"/>
        <v>0</v>
      </c>
      <c r="V128" s="28">
        <f t="shared" si="36"/>
        <v>0</v>
      </c>
      <c r="W128" s="16">
        <f t="shared" si="44"/>
        <v>0</v>
      </c>
      <c r="Y128" s="1"/>
    </row>
    <row r="129" spans="7:25" x14ac:dyDescent="0.25">
      <c r="G129">
        <v>119</v>
      </c>
      <c r="H129" s="21">
        <v>47453</v>
      </c>
      <c r="I129" s="16">
        <f t="shared" si="38"/>
        <v>0</v>
      </c>
      <c r="J129" s="16">
        <f t="shared" si="27"/>
        <v>0</v>
      </c>
      <c r="K129" s="16">
        <f t="shared" si="42"/>
        <v>0</v>
      </c>
      <c r="L129" s="16">
        <f t="shared" si="29"/>
        <v>0</v>
      </c>
      <c r="M129" s="26">
        <f t="shared" si="39"/>
        <v>0</v>
      </c>
      <c r="N129" s="26">
        <f t="shared" si="30"/>
        <v>0</v>
      </c>
      <c r="O129" s="16">
        <f t="shared" si="43"/>
        <v>0</v>
      </c>
      <c r="P129" s="16">
        <f t="shared" si="40"/>
        <v>0</v>
      </c>
      <c r="Q129" s="26">
        <f t="shared" si="41"/>
        <v>0</v>
      </c>
      <c r="R129" s="26">
        <f t="shared" si="32"/>
        <v>0</v>
      </c>
      <c r="S129" s="16">
        <f t="shared" si="33"/>
        <v>0</v>
      </c>
      <c r="T129" s="16">
        <f t="shared" si="34"/>
        <v>0</v>
      </c>
      <c r="U129" s="28">
        <f t="shared" si="35"/>
        <v>0</v>
      </c>
      <c r="V129" s="28">
        <f t="shared" si="36"/>
        <v>0</v>
      </c>
      <c r="W129" s="16">
        <f t="shared" si="44"/>
        <v>0</v>
      </c>
      <c r="Y129" s="1"/>
    </row>
    <row r="130" spans="7:25" x14ac:dyDescent="0.25">
      <c r="G130">
        <v>120</v>
      </c>
      <c r="H130" s="21">
        <v>47484</v>
      </c>
      <c r="I130" s="16">
        <f t="shared" si="38"/>
        <v>0</v>
      </c>
      <c r="J130" s="16">
        <f t="shared" si="27"/>
        <v>0</v>
      </c>
      <c r="K130" s="16">
        <f t="shared" si="42"/>
        <v>0</v>
      </c>
      <c r="L130" s="16">
        <f t="shared" si="29"/>
        <v>0</v>
      </c>
      <c r="M130" s="26">
        <f t="shared" si="39"/>
        <v>0</v>
      </c>
      <c r="N130" s="26">
        <f t="shared" si="30"/>
        <v>0</v>
      </c>
      <c r="O130" s="16">
        <f t="shared" si="43"/>
        <v>0</v>
      </c>
      <c r="P130" s="16">
        <f t="shared" si="40"/>
        <v>0</v>
      </c>
      <c r="Q130" s="26">
        <f t="shared" si="41"/>
        <v>0</v>
      </c>
      <c r="R130" s="26">
        <f t="shared" si="32"/>
        <v>0</v>
      </c>
      <c r="S130" s="16">
        <f t="shared" si="33"/>
        <v>0</v>
      </c>
      <c r="T130" s="16">
        <f t="shared" si="34"/>
        <v>0</v>
      </c>
      <c r="U130" s="28">
        <f t="shared" si="35"/>
        <v>0</v>
      </c>
      <c r="V130" s="28">
        <f t="shared" si="36"/>
        <v>0</v>
      </c>
      <c r="W130" s="16">
        <f t="shared" si="44"/>
        <v>0</v>
      </c>
      <c r="Y130" s="1"/>
    </row>
    <row r="131" spans="7:25" x14ac:dyDescent="0.25">
      <c r="G131">
        <v>121</v>
      </c>
      <c r="H131" s="21">
        <v>47515</v>
      </c>
      <c r="I131" s="16">
        <f t="shared" si="38"/>
        <v>0</v>
      </c>
      <c r="J131" s="16">
        <f t="shared" si="27"/>
        <v>0</v>
      </c>
      <c r="K131" s="16">
        <f t="shared" si="42"/>
        <v>0</v>
      </c>
      <c r="L131" s="16">
        <f t="shared" si="29"/>
        <v>0</v>
      </c>
      <c r="M131" s="26">
        <f t="shared" si="39"/>
        <v>0</v>
      </c>
      <c r="N131" s="26">
        <f t="shared" si="30"/>
        <v>0</v>
      </c>
      <c r="O131" s="16">
        <f t="shared" si="43"/>
        <v>0</v>
      </c>
      <c r="P131" s="16">
        <f t="shared" si="40"/>
        <v>0</v>
      </c>
      <c r="Q131" s="26">
        <f t="shared" si="41"/>
        <v>0</v>
      </c>
      <c r="R131" s="26">
        <f t="shared" si="32"/>
        <v>0</v>
      </c>
      <c r="S131" s="16">
        <f t="shared" si="33"/>
        <v>0</v>
      </c>
      <c r="T131" s="16">
        <f t="shared" si="34"/>
        <v>0</v>
      </c>
      <c r="U131" s="28">
        <f t="shared" si="35"/>
        <v>0</v>
      </c>
      <c r="V131" s="28">
        <f t="shared" si="36"/>
        <v>0</v>
      </c>
      <c r="W131" s="16">
        <f t="shared" si="44"/>
        <v>0</v>
      </c>
      <c r="Y131" s="1"/>
    </row>
    <row r="132" spans="7:25" x14ac:dyDescent="0.25">
      <c r="G132">
        <v>122</v>
      </c>
      <c r="H132" s="21">
        <v>47543</v>
      </c>
      <c r="I132" s="16">
        <f t="shared" si="38"/>
        <v>0</v>
      </c>
      <c r="J132" s="16">
        <f t="shared" si="27"/>
        <v>0</v>
      </c>
      <c r="K132" s="16">
        <f t="shared" si="42"/>
        <v>0</v>
      </c>
      <c r="L132" s="16">
        <f t="shared" si="29"/>
        <v>0</v>
      </c>
      <c r="M132" s="26">
        <f t="shared" si="39"/>
        <v>0</v>
      </c>
      <c r="N132" s="26">
        <f t="shared" si="30"/>
        <v>0</v>
      </c>
      <c r="O132" s="16">
        <f t="shared" si="43"/>
        <v>0</v>
      </c>
      <c r="P132" s="16">
        <f t="shared" si="40"/>
        <v>0</v>
      </c>
      <c r="Q132" s="26">
        <f t="shared" si="41"/>
        <v>0</v>
      </c>
      <c r="R132" s="26">
        <f t="shared" si="32"/>
        <v>0</v>
      </c>
      <c r="S132" s="16">
        <f t="shared" si="33"/>
        <v>0</v>
      </c>
      <c r="T132" s="16">
        <f t="shared" si="34"/>
        <v>0</v>
      </c>
      <c r="U132" s="28">
        <f t="shared" si="35"/>
        <v>0</v>
      </c>
      <c r="V132" s="28">
        <f t="shared" si="36"/>
        <v>0</v>
      </c>
      <c r="W132" s="16">
        <f t="shared" si="44"/>
        <v>0</v>
      </c>
      <c r="Y132" s="1"/>
    </row>
    <row r="133" spans="7:25" x14ac:dyDescent="0.25">
      <c r="G133">
        <v>123</v>
      </c>
      <c r="H133" s="21">
        <v>47574</v>
      </c>
      <c r="I133" s="16">
        <f t="shared" si="38"/>
        <v>0</v>
      </c>
      <c r="J133" s="16">
        <f t="shared" si="27"/>
        <v>0</v>
      </c>
      <c r="K133" s="16">
        <f t="shared" si="42"/>
        <v>0</v>
      </c>
      <c r="L133" s="16">
        <f t="shared" si="29"/>
        <v>0</v>
      </c>
      <c r="M133" s="26">
        <f t="shared" si="39"/>
        <v>0</v>
      </c>
      <c r="N133" s="26">
        <f t="shared" si="30"/>
        <v>0</v>
      </c>
      <c r="O133" s="16">
        <f t="shared" si="43"/>
        <v>0</v>
      </c>
      <c r="P133" s="16">
        <f t="shared" si="40"/>
        <v>0</v>
      </c>
      <c r="Q133" s="26">
        <f t="shared" si="41"/>
        <v>0</v>
      </c>
      <c r="R133" s="26">
        <f t="shared" si="32"/>
        <v>0</v>
      </c>
      <c r="S133" s="16">
        <f t="shared" si="33"/>
        <v>0</v>
      </c>
      <c r="T133" s="16">
        <f t="shared" si="34"/>
        <v>0</v>
      </c>
      <c r="U133" s="28">
        <f t="shared" si="35"/>
        <v>0</v>
      </c>
      <c r="V133" s="28">
        <f t="shared" si="36"/>
        <v>0</v>
      </c>
      <c r="W133" s="16">
        <f t="shared" si="44"/>
        <v>0</v>
      </c>
      <c r="Y133" s="1"/>
    </row>
    <row r="134" spans="7:25" x14ac:dyDescent="0.25">
      <c r="G134">
        <v>124</v>
      </c>
      <c r="H134" s="21">
        <v>47604</v>
      </c>
      <c r="I134" s="16">
        <f t="shared" si="38"/>
        <v>0</v>
      </c>
      <c r="J134" s="16">
        <f t="shared" si="27"/>
        <v>0</v>
      </c>
      <c r="K134" s="16">
        <f t="shared" si="42"/>
        <v>0</v>
      </c>
      <c r="L134" s="16">
        <f t="shared" si="29"/>
        <v>0</v>
      </c>
      <c r="M134" s="26">
        <f t="shared" si="39"/>
        <v>0</v>
      </c>
      <c r="N134" s="26">
        <f t="shared" si="30"/>
        <v>0</v>
      </c>
      <c r="O134" s="16">
        <f t="shared" si="43"/>
        <v>0</v>
      </c>
      <c r="P134" s="16">
        <f t="shared" si="40"/>
        <v>0</v>
      </c>
      <c r="Q134" s="26">
        <f t="shared" si="41"/>
        <v>0</v>
      </c>
      <c r="R134" s="26">
        <f t="shared" si="32"/>
        <v>0</v>
      </c>
      <c r="S134" s="16">
        <f t="shared" si="33"/>
        <v>0</v>
      </c>
      <c r="T134" s="16">
        <f t="shared" si="34"/>
        <v>0</v>
      </c>
      <c r="U134" s="28">
        <f t="shared" si="35"/>
        <v>0</v>
      </c>
      <c r="V134" s="28">
        <f t="shared" si="36"/>
        <v>0</v>
      </c>
      <c r="W134" s="16">
        <f t="shared" si="44"/>
        <v>0</v>
      </c>
      <c r="Y134" s="1"/>
    </row>
    <row r="135" spans="7:25" x14ac:dyDescent="0.25">
      <c r="G135">
        <v>125</v>
      </c>
      <c r="H135" s="21">
        <v>47635</v>
      </c>
      <c r="I135" s="16">
        <f t="shared" si="38"/>
        <v>0</v>
      </c>
      <c r="J135" s="16">
        <f t="shared" si="27"/>
        <v>0</v>
      </c>
      <c r="K135" s="16">
        <f t="shared" si="42"/>
        <v>0</v>
      </c>
      <c r="L135" s="16">
        <f t="shared" si="29"/>
        <v>0</v>
      </c>
      <c r="M135" s="26">
        <f t="shared" si="39"/>
        <v>0</v>
      </c>
      <c r="N135" s="26">
        <f t="shared" si="30"/>
        <v>0</v>
      </c>
      <c r="O135" s="16">
        <f t="shared" si="43"/>
        <v>0</v>
      </c>
      <c r="P135" s="16">
        <f t="shared" si="40"/>
        <v>0</v>
      </c>
      <c r="Q135" s="26">
        <f t="shared" si="41"/>
        <v>0</v>
      </c>
      <c r="R135" s="26">
        <f t="shared" si="32"/>
        <v>0</v>
      </c>
      <c r="S135" s="16">
        <f t="shared" si="33"/>
        <v>0</v>
      </c>
      <c r="T135" s="16">
        <f t="shared" si="34"/>
        <v>0</v>
      </c>
      <c r="U135" s="28">
        <f t="shared" si="35"/>
        <v>0</v>
      </c>
      <c r="V135" s="28">
        <f t="shared" si="36"/>
        <v>0</v>
      </c>
      <c r="W135" s="16">
        <f t="shared" si="44"/>
        <v>0</v>
      </c>
      <c r="Y135" s="1"/>
    </row>
    <row r="136" spans="7:25" x14ac:dyDescent="0.25">
      <c r="G136">
        <v>126</v>
      </c>
      <c r="H136" s="21">
        <v>47665</v>
      </c>
      <c r="I136" s="16">
        <f t="shared" si="38"/>
        <v>0</v>
      </c>
      <c r="J136" s="16">
        <f t="shared" si="27"/>
        <v>0</v>
      </c>
      <c r="K136" s="16">
        <f t="shared" si="42"/>
        <v>0</v>
      </c>
      <c r="L136" s="16">
        <f t="shared" si="29"/>
        <v>0</v>
      </c>
      <c r="M136" s="26">
        <f t="shared" si="39"/>
        <v>0</v>
      </c>
      <c r="N136" s="26">
        <f t="shared" si="30"/>
        <v>0</v>
      </c>
      <c r="O136" s="16">
        <f t="shared" si="43"/>
        <v>0</v>
      </c>
      <c r="P136" s="16">
        <f t="shared" si="40"/>
        <v>0</v>
      </c>
      <c r="Q136" s="26">
        <f t="shared" si="41"/>
        <v>0</v>
      </c>
      <c r="R136" s="26">
        <f t="shared" si="32"/>
        <v>0</v>
      </c>
      <c r="S136" s="16">
        <f t="shared" si="33"/>
        <v>0</v>
      </c>
      <c r="T136" s="16">
        <f t="shared" si="34"/>
        <v>0</v>
      </c>
      <c r="U136" s="28">
        <f t="shared" si="35"/>
        <v>0</v>
      </c>
      <c r="V136" s="28">
        <f t="shared" si="36"/>
        <v>0</v>
      </c>
      <c r="W136" s="16">
        <f t="shared" si="44"/>
        <v>0</v>
      </c>
      <c r="Y136" s="1"/>
    </row>
    <row r="137" spans="7:25" x14ac:dyDescent="0.25">
      <c r="G137">
        <v>127</v>
      </c>
      <c r="H137" s="21">
        <v>47696</v>
      </c>
      <c r="I137" s="16">
        <f t="shared" si="38"/>
        <v>0</v>
      </c>
      <c r="J137" s="16">
        <f t="shared" si="27"/>
        <v>0</v>
      </c>
      <c r="K137" s="16">
        <f t="shared" si="42"/>
        <v>0</v>
      </c>
      <c r="L137" s="16">
        <f t="shared" si="29"/>
        <v>0</v>
      </c>
      <c r="M137" s="26">
        <f t="shared" si="39"/>
        <v>0</v>
      </c>
      <c r="N137" s="26">
        <f t="shared" si="30"/>
        <v>0</v>
      </c>
      <c r="O137" s="16">
        <f t="shared" si="43"/>
        <v>0</v>
      </c>
      <c r="P137" s="16">
        <f t="shared" si="40"/>
        <v>0</v>
      </c>
      <c r="Q137" s="26">
        <f t="shared" si="41"/>
        <v>0</v>
      </c>
      <c r="R137" s="26">
        <f t="shared" si="32"/>
        <v>0</v>
      </c>
      <c r="S137" s="16">
        <f t="shared" si="33"/>
        <v>0</v>
      </c>
      <c r="T137" s="16">
        <f t="shared" si="34"/>
        <v>0</v>
      </c>
      <c r="U137" s="28">
        <f t="shared" si="35"/>
        <v>0</v>
      </c>
      <c r="V137" s="28">
        <f t="shared" si="36"/>
        <v>0</v>
      </c>
      <c r="W137" s="16">
        <f t="shared" si="44"/>
        <v>0</v>
      </c>
      <c r="Y137" s="1"/>
    </row>
    <row r="138" spans="7:25" x14ac:dyDescent="0.25">
      <c r="G138">
        <v>128</v>
      </c>
      <c r="H138" s="21">
        <v>47727</v>
      </c>
      <c r="I138" s="16">
        <f t="shared" si="38"/>
        <v>0</v>
      </c>
      <c r="J138" s="16">
        <f t="shared" si="27"/>
        <v>0</v>
      </c>
      <c r="K138" s="16">
        <f t="shared" si="42"/>
        <v>0</v>
      </c>
      <c r="L138" s="16">
        <f t="shared" si="29"/>
        <v>0</v>
      </c>
      <c r="M138" s="26">
        <f t="shared" si="39"/>
        <v>0</v>
      </c>
      <c r="N138" s="26">
        <f t="shared" si="30"/>
        <v>0</v>
      </c>
      <c r="O138" s="16">
        <f t="shared" si="43"/>
        <v>0</v>
      </c>
      <c r="P138" s="16">
        <f t="shared" si="40"/>
        <v>0</v>
      </c>
      <c r="Q138" s="26">
        <f t="shared" si="41"/>
        <v>0</v>
      </c>
      <c r="R138" s="26">
        <f t="shared" si="32"/>
        <v>0</v>
      </c>
      <c r="S138" s="16">
        <f t="shared" si="33"/>
        <v>0</v>
      </c>
      <c r="T138" s="16">
        <f t="shared" si="34"/>
        <v>0</v>
      </c>
      <c r="U138" s="28">
        <f t="shared" si="35"/>
        <v>0</v>
      </c>
      <c r="V138" s="28">
        <f t="shared" si="36"/>
        <v>0</v>
      </c>
      <c r="W138" s="16">
        <f t="shared" si="44"/>
        <v>0</v>
      </c>
      <c r="Y138" s="1"/>
    </row>
    <row r="139" spans="7:25" x14ac:dyDescent="0.25">
      <c r="G139">
        <v>129</v>
      </c>
      <c r="H139" s="21">
        <v>47757</v>
      </c>
      <c r="I139" s="16">
        <f t="shared" ref="I139:I170" si="45">IF(G139&lt;$D$14,(M139-L139-K139)*1/(1+$D$21),IF(G139=$D$14,(M139-L139-K139-$D$20)*1/(1+$D$21),0))</f>
        <v>0</v>
      </c>
      <c r="J139" s="16">
        <f t="shared" si="27"/>
        <v>0</v>
      </c>
      <c r="K139" s="16">
        <f t="shared" si="42"/>
        <v>0</v>
      </c>
      <c r="L139" s="16">
        <f t="shared" si="29"/>
        <v>0</v>
      </c>
      <c r="M139" s="26">
        <f t="shared" ref="M139:M170" si="46">IF(G139&lt;=$D$14,-$D$25,0)+IF(G139=$D$14,$D$20,0)</f>
        <v>0</v>
      </c>
      <c r="N139" s="26">
        <f t="shared" si="30"/>
        <v>0</v>
      </c>
      <c r="O139" s="16">
        <f t="shared" si="43"/>
        <v>0</v>
      </c>
      <c r="P139" s="16">
        <f t="shared" ref="P139:P170" si="47">IF($D$32="нет",0,J139+L139+IF(G139=$D$14,$D$20*$D$21/(1+$D$21),0))</f>
        <v>0</v>
      </c>
      <c r="Q139" s="26">
        <f t="shared" ref="Q139:Q170" si="48">IF(G139&lt;=$D$14,M139-P139,0)</f>
        <v>0</v>
      </c>
      <c r="R139" s="26">
        <f t="shared" si="32"/>
        <v>0</v>
      </c>
      <c r="S139" s="16">
        <f t="shared" si="33"/>
        <v>0</v>
      </c>
      <c r="T139" s="16">
        <f t="shared" si="34"/>
        <v>0</v>
      </c>
      <c r="U139" s="28">
        <f t="shared" si="35"/>
        <v>0</v>
      </c>
      <c r="V139" s="28">
        <f t="shared" si="36"/>
        <v>0</v>
      </c>
      <c r="W139" s="16">
        <f t="shared" si="44"/>
        <v>0</v>
      </c>
      <c r="Y139" s="1"/>
    </row>
    <row r="140" spans="7:25" x14ac:dyDescent="0.25">
      <c r="G140">
        <v>130</v>
      </c>
      <c r="H140" s="21">
        <v>47788</v>
      </c>
      <c r="I140" s="16">
        <f t="shared" si="45"/>
        <v>0</v>
      </c>
      <c r="J140" s="16">
        <f t="shared" ref="J140:J190" si="49">IF(G140&lt;=$D$14,I140*$D$21,0)</f>
        <v>0</v>
      </c>
      <c r="K140" s="16">
        <f t="shared" ref="K140:K171" si="50">IF(G140&lt;=$D$14,O139*$D$17,0)</f>
        <v>0</v>
      </c>
      <c r="L140" s="16">
        <f t="shared" ref="L140:L190" si="51">IF(G140&lt;=$D$14,K140*$D$21,0)</f>
        <v>0</v>
      </c>
      <c r="M140" s="26">
        <f t="shared" si="46"/>
        <v>0</v>
      </c>
      <c r="N140" s="26">
        <f t="shared" ref="N140:N190" si="52">M140+W140</f>
        <v>0</v>
      </c>
      <c r="O140" s="16">
        <f t="shared" ref="O140:O171" si="53">IF(G140&lt;$D$14,O139-I140-J140,0)</f>
        <v>0</v>
      </c>
      <c r="P140" s="16">
        <f t="shared" si="47"/>
        <v>0</v>
      </c>
      <c r="Q140" s="26">
        <f t="shared" si="48"/>
        <v>0</v>
      </c>
      <c r="R140" s="26">
        <f t="shared" ref="R140:R190" si="54">Q140+W140</f>
        <v>0</v>
      </c>
      <c r="S140" s="16">
        <f t="shared" ref="S140:S190" si="55">IF($D$33="да",Q140*$D$22,0)</f>
        <v>0</v>
      </c>
      <c r="T140" s="16">
        <f t="shared" ref="T140:T190" si="56">IF($D$33="да",R140*$D$22,0)</f>
        <v>0</v>
      </c>
      <c r="U140" s="28">
        <f t="shared" ref="U140:U190" si="57">Q140-S140</f>
        <v>0</v>
      </c>
      <c r="V140" s="28">
        <f t="shared" ref="V140:V190" si="58">R140-T140</f>
        <v>0</v>
      </c>
      <c r="W140" s="16">
        <f t="shared" ref="W140:W171" si="59">IF(G140&lt;=$D$14,O139*$D$23,0)</f>
        <v>0</v>
      </c>
      <c r="Y140" s="1"/>
    </row>
    <row r="141" spans="7:25" x14ac:dyDescent="0.25">
      <c r="G141">
        <v>131</v>
      </c>
      <c r="H141" s="21">
        <v>47818</v>
      </c>
      <c r="I141" s="16">
        <f t="shared" si="45"/>
        <v>0</v>
      </c>
      <c r="J141" s="16">
        <f t="shared" si="49"/>
        <v>0</v>
      </c>
      <c r="K141" s="16">
        <f t="shared" si="50"/>
        <v>0</v>
      </c>
      <c r="L141" s="16">
        <f t="shared" si="51"/>
        <v>0</v>
      </c>
      <c r="M141" s="26">
        <f t="shared" si="46"/>
        <v>0</v>
      </c>
      <c r="N141" s="26">
        <f t="shared" si="52"/>
        <v>0</v>
      </c>
      <c r="O141" s="16">
        <f t="shared" si="53"/>
        <v>0</v>
      </c>
      <c r="P141" s="16">
        <f t="shared" si="47"/>
        <v>0</v>
      </c>
      <c r="Q141" s="26">
        <f t="shared" si="48"/>
        <v>0</v>
      </c>
      <c r="R141" s="26">
        <f t="shared" si="54"/>
        <v>0</v>
      </c>
      <c r="S141" s="16">
        <f t="shared" si="55"/>
        <v>0</v>
      </c>
      <c r="T141" s="16">
        <f t="shared" si="56"/>
        <v>0</v>
      </c>
      <c r="U141" s="28">
        <f t="shared" si="57"/>
        <v>0</v>
      </c>
      <c r="V141" s="28">
        <f t="shared" si="58"/>
        <v>0</v>
      </c>
      <c r="W141" s="16">
        <f t="shared" si="59"/>
        <v>0</v>
      </c>
      <c r="Y141" s="1"/>
    </row>
    <row r="142" spans="7:25" x14ac:dyDescent="0.25">
      <c r="G142">
        <v>132</v>
      </c>
      <c r="H142" s="21">
        <v>47849</v>
      </c>
      <c r="I142" s="16">
        <f t="shared" si="45"/>
        <v>0</v>
      </c>
      <c r="J142" s="16">
        <f t="shared" si="49"/>
        <v>0</v>
      </c>
      <c r="K142" s="16">
        <f t="shared" si="50"/>
        <v>0</v>
      </c>
      <c r="L142" s="16">
        <f t="shared" si="51"/>
        <v>0</v>
      </c>
      <c r="M142" s="26">
        <f t="shared" si="46"/>
        <v>0</v>
      </c>
      <c r="N142" s="26">
        <f t="shared" si="52"/>
        <v>0</v>
      </c>
      <c r="O142" s="16">
        <f t="shared" si="53"/>
        <v>0</v>
      </c>
      <c r="P142" s="16">
        <f t="shared" si="47"/>
        <v>0</v>
      </c>
      <c r="Q142" s="26">
        <f t="shared" si="48"/>
        <v>0</v>
      </c>
      <c r="R142" s="26">
        <f t="shared" si="54"/>
        <v>0</v>
      </c>
      <c r="S142" s="16">
        <f t="shared" si="55"/>
        <v>0</v>
      </c>
      <c r="T142" s="16">
        <f t="shared" si="56"/>
        <v>0</v>
      </c>
      <c r="U142" s="28">
        <f t="shared" si="57"/>
        <v>0</v>
      </c>
      <c r="V142" s="28">
        <f t="shared" si="58"/>
        <v>0</v>
      </c>
      <c r="W142" s="16">
        <f t="shared" si="59"/>
        <v>0</v>
      </c>
      <c r="Y142" s="1"/>
    </row>
    <row r="143" spans="7:25" x14ac:dyDescent="0.25">
      <c r="G143">
        <v>133</v>
      </c>
      <c r="H143" s="21">
        <v>47880</v>
      </c>
      <c r="I143" s="16">
        <f t="shared" si="45"/>
        <v>0</v>
      </c>
      <c r="J143" s="16">
        <f t="shared" si="49"/>
        <v>0</v>
      </c>
      <c r="K143" s="16">
        <f t="shared" si="50"/>
        <v>0</v>
      </c>
      <c r="L143" s="16">
        <f t="shared" si="51"/>
        <v>0</v>
      </c>
      <c r="M143" s="26">
        <f t="shared" si="46"/>
        <v>0</v>
      </c>
      <c r="N143" s="26">
        <f t="shared" si="52"/>
        <v>0</v>
      </c>
      <c r="O143" s="16">
        <f t="shared" si="53"/>
        <v>0</v>
      </c>
      <c r="P143" s="16">
        <f t="shared" si="47"/>
        <v>0</v>
      </c>
      <c r="Q143" s="26">
        <f t="shared" si="48"/>
        <v>0</v>
      </c>
      <c r="R143" s="26">
        <f t="shared" si="54"/>
        <v>0</v>
      </c>
      <c r="S143" s="16">
        <f t="shared" si="55"/>
        <v>0</v>
      </c>
      <c r="T143" s="16">
        <f t="shared" si="56"/>
        <v>0</v>
      </c>
      <c r="U143" s="28">
        <f t="shared" si="57"/>
        <v>0</v>
      </c>
      <c r="V143" s="28">
        <f t="shared" si="58"/>
        <v>0</v>
      </c>
      <c r="W143" s="16">
        <f t="shared" si="59"/>
        <v>0</v>
      </c>
      <c r="Y143" s="1"/>
    </row>
    <row r="144" spans="7:25" x14ac:dyDescent="0.25">
      <c r="G144">
        <v>134</v>
      </c>
      <c r="H144" s="21">
        <v>47908</v>
      </c>
      <c r="I144" s="16">
        <f t="shared" si="45"/>
        <v>0</v>
      </c>
      <c r="J144" s="16">
        <f t="shared" si="49"/>
        <v>0</v>
      </c>
      <c r="K144" s="16">
        <f t="shared" si="50"/>
        <v>0</v>
      </c>
      <c r="L144" s="16">
        <f t="shared" si="51"/>
        <v>0</v>
      </c>
      <c r="M144" s="26">
        <f t="shared" si="46"/>
        <v>0</v>
      </c>
      <c r="N144" s="26">
        <f t="shared" si="52"/>
        <v>0</v>
      </c>
      <c r="O144" s="16">
        <f t="shared" si="53"/>
        <v>0</v>
      </c>
      <c r="P144" s="16">
        <f t="shared" si="47"/>
        <v>0</v>
      </c>
      <c r="Q144" s="26">
        <f t="shared" si="48"/>
        <v>0</v>
      </c>
      <c r="R144" s="26">
        <f t="shared" si="54"/>
        <v>0</v>
      </c>
      <c r="S144" s="16">
        <f t="shared" si="55"/>
        <v>0</v>
      </c>
      <c r="T144" s="16">
        <f t="shared" si="56"/>
        <v>0</v>
      </c>
      <c r="U144" s="28">
        <f t="shared" si="57"/>
        <v>0</v>
      </c>
      <c r="V144" s="28">
        <f t="shared" si="58"/>
        <v>0</v>
      </c>
      <c r="W144" s="16">
        <f t="shared" si="59"/>
        <v>0</v>
      </c>
      <c r="Y144" s="1"/>
    </row>
    <row r="145" spans="7:25" x14ac:dyDescent="0.25">
      <c r="G145">
        <v>135</v>
      </c>
      <c r="H145" s="21">
        <v>47939</v>
      </c>
      <c r="I145" s="16">
        <f t="shared" si="45"/>
        <v>0</v>
      </c>
      <c r="J145" s="16">
        <f t="shared" si="49"/>
        <v>0</v>
      </c>
      <c r="K145" s="16">
        <f t="shared" si="50"/>
        <v>0</v>
      </c>
      <c r="L145" s="16">
        <f t="shared" si="51"/>
        <v>0</v>
      </c>
      <c r="M145" s="26">
        <f t="shared" si="46"/>
        <v>0</v>
      </c>
      <c r="N145" s="26">
        <f t="shared" si="52"/>
        <v>0</v>
      </c>
      <c r="O145" s="16">
        <f t="shared" si="53"/>
        <v>0</v>
      </c>
      <c r="P145" s="16">
        <f t="shared" si="47"/>
        <v>0</v>
      </c>
      <c r="Q145" s="26">
        <f t="shared" si="48"/>
        <v>0</v>
      </c>
      <c r="R145" s="26">
        <f t="shared" si="54"/>
        <v>0</v>
      </c>
      <c r="S145" s="16">
        <f t="shared" si="55"/>
        <v>0</v>
      </c>
      <c r="T145" s="16">
        <f t="shared" si="56"/>
        <v>0</v>
      </c>
      <c r="U145" s="28">
        <f t="shared" si="57"/>
        <v>0</v>
      </c>
      <c r="V145" s="28">
        <f t="shared" si="58"/>
        <v>0</v>
      </c>
      <c r="W145" s="16">
        <f t="shared" si="59"/>
        <v>0</v>
      </c>
      <c r="Y145" s="1"/>
    </row>
    <row r="146" spans="7:25" x14ac:dyDescent="0.25">
      <c r="G146">
        <v>136</v>
      </c>
      <c r="H146" s="21">
        <v>47969</v>
      </c>
      <c r="I146" s="16">
        <f t="shared" si="45"/>
        <v>0</v>
      </c>
      <c r="J146" s="16">
        <f t="shared" si="49"/>
        <v>0</v>
      </c>
      <c r="K146" s="16">
        <f t="shared" si="50"/>
        <v>0</v>
      </c>
      <c r="L146" s="16">
        <f t="shared" si="51"/>
        <v>0</v>
      </c>
      <c r="M146" s="26">
        <f t="shared" si="46"/>
        <v>0</v>
      </c>
      <c r="N146" s="26">
        <f t="shared" si="52"/>
        <v>0</v>
      </c>
      <c r="O146" s="16">
        <f t="shared" si="53"/>
        <v>0</v>
      </c>
      <c r="P146" s="16">
        <f t="shared" si="47"/>
        <v>0</v>
      </c>
      <c r="Q146" s="26">
        <f t="shared" si="48"/>
        <v>0</v>
      </c>
      <c r="R146" s="26">
        <f t="shared" si="54"/>
        <v>0</v>
      </c>
      <c r="S146" s="16">
        <f t="shared" si="55"/>
        <v>0</v>
      </c>
      <c r="T146" s="16">
        <f t="shared" si="56"/>
        <v>0</v>
      </c>
      <c r="U146" s="28">
        <f t="shared" si="57"/>
        <v>0</v>
      </c>
      <c r="V146" s="28">
        <f t="shared" si="58"/>
        <v>0</v>
      </c>
      <c r="W146" s="16">
        <f t="shared" si="59"/>
        <v>0</v>
      </c>
      <c r="Y146" s="1"/>
    </row>
    <row r="147" spans="7:25" x14ac:dyDescent="0.25">
      <c r="G147">
        <v>137</v>
      </c>
      <c r="H147" s="21">
        <v>48000</v>
      </c>
      <c r="I147" s="16">
        <f t="shared" si="45"/>
        <v>0</v>
      </c>
      <c r="J147" s="16">
        <f t="shared" si="49"/>
        <v>0</v>
      </c>
      <c r="K147" s="16">
        <f t="shared" si="50"/>
        <v>0</v>
      </c>
      <c r="L147" s="16">
        <f t="shared" si="51"/>
        <v>0</v>
      </c>
      <c r="M147" s="26">
        <f t="shared" si="46"/>
        <v>0</v>
      </c>
      <c r="N147" s="26">
        <f t="shared" si="52"/>
        <v>0</v>
      </c>
      <c r="O147" s="16">
        <f t="shared" si="53"/>
        <v>0</v>
      </c>
      <c r="P147" s="16">
        <f t="shared" si="47"/>
        <v>0</v>
      </c>
      <c r="Q147" s="26">
        <f t="shared" si="48"/>
        <v>0</v>
      </c>
      <c r="R147" s="26">
        <f t="shared" si="54"/>
        <v>0</v>
      </c>
      <c r="S147" s="16">
        <f t="shared" si="55"/>
        <v>0</v>
      </c>
      <c r="T147" s="16">
        <f t="shared" si="56"/>
        <v>0</v>
      </c>
      <c r="U147" s="28">
        <f t="shared" si="57"/>
        <v>0</v>
      </c>
      <c r="V147" s="28">
        <f t="shared" si="58"/>
        <v>0</v>
      </c>
      <c r="W147" s="16">
        <f t="shared" si="59"/>
        <v>0</v>
      </c>
      <c r="Y147" s="1"/>
    </row>
    <row r="148" spans="7:25" x14ac:dyDescent="0.25">
      <c r="G148">
        <v>138</v>
      </c>
      <c r="H148" s="21">
        <v>48030</v>
      </c>
      <c r="I148" s="16">
        <f t="shared" si="45"/>
        <v>0</v>
      </c>
      <c r="J148" s="16">
        <f t="shared" si="49"/>
        <v>0</v>
      </c>
      <c r="K148" s="16">
        <f t="shared" si="50"/>
        <v>0</v>
      </c>
      <c r="L148" s="16">
        <f t="shared" si="51"/>
        <v>0</v>
      </c>
      <c r="M148" s="26">
        <f t="shared" si="46"/>
        <v>0</v>
      </c>
      <c r="N148" s="26">
        <f t="shared" si="52"/>
        <v>0</v>
      </c>
      <c r="O148" s="16">
        <f t="shared" si="53"/>
        <v>0</v>
      </c>
      <c r="P148" s="16">
        <f t="shared" si="47"/>
        <v>0</v>
      </c>
      <c r="Q148" s="26">
        <f t="shared" si="48"/>
        <v>0</v>
      </c>
      <c r="R148" s="26">
        <f t="shared" si="54"/>
        <v>0</v>
      </c>
      <c r="S148" s="16">
        <f t="shared" si="55"/>
        <v>0</v>
      </c>
      <c r="T148" s="16">
        <f t="shared" si="56"/>
        <v>0</v>
      </c>
      <c r="U148" s="28">
        <f t="shared" si="57"/>
        <v>0</v>
      </c>
      <c r="V148" s="28">
        <f t="shared" si="58"/>
        <v>0</v>
      </c>
      <c r="W148" s="16">
        <f t="shared" si="59"/>
        <v>0</v>
      </c>
      <c r="Y148" s="1"/>
    </row>
    <row r="149" spans="7:25" x14ac:dyDescent="0.25">
      <c r="G149">
        <v>139</v>
      </c>
      <c r="H149" s="21">
        <v>48061</v>
      </c>
      <c r="I149" s="16">
        <f t="shared" si="45"/>
        <v>0</v>
      </c>
      <c r="J149" s="16">
        <f t="shared" si="49"/>
        <v>0</v>
      </c>
      <c r="K149" s="16">
        <f t="shared" si="50"/>
        <v>0</v>
      </c>
      <c r="L149" s="16">
        <f t="shared" si="51"/>
        <v>0</v>
      </c>
      <c r="M149" s="26">
        <f t="shared" si="46"/>
        <v>0</v>
      </c>
      <c r="N149" s="26">
        <f t="shared" si="52"/>
        <v>0</v>
      </c>
      <c r="O149" s="16">
        <f t="shared" si="53"/>
        <v>0</v>
      </c>
      <c r="P149" s="16">
        <f t="shared" si="47"/>
        <v>0</v>
      </c>
      <c r="Q149" s="26">
        <f t="shared" si="48"/>
        <v>0</v>
      </c>
      <c r="R149" s="26">
        <f t="shared" si="54"/>
        <v>0</v>
      </c>
      <c r="S149" s="16">
        <f t="shared" si="55"/>
        <v>0</v>
      </c>
      <c r="T149" s="16">
        <f t="shared" si="56"/>
        <v>0</v>
      </c>
      <c r="U149" s="28">
        <f t="shared" si="57"/>
        <v>0</v>
      </c>
      <c r="V149" s="28">
        <f t="shared" si="58"/>
        <v>0</v>
      </c>
      <c r="W149" s="16">
        <f t="shared" si="59"/>
        <v>0</v>
      </c>
      <c r="Y149" s="1"/>
    </row>
    <row r="150" spans="7:25" x14ac:dyDescent="0.25">
      <c r="G150">
        <v>140</v>
      </c>
      <c r="H150" s="21">
        <v>48092</v>
      </c>
      <c r="I150" s="16">
        <f t="shared" si="45"/>
        <v>0</v>
      </c>
      <c r="J150" s="16">
        <f t="shared" si="49"/>
        <v>0</v>
      </c>
      <c r="K150" s="16">
        <f t="shared" si="50"/>
        <v>0</v>
      </c>
      <c r="L150" s="16">
        <f t="shared" si="51"/>
        <v>0</v>
      </c>
      <c r="M150" s="26">
        <f t="shared" si="46"/>
        <v>0</v>
      </c>
      <c r="N150" s="26">
        <f t="shared" si="52"/>
        <v>0</v>
      </c>
      <c r="O150" s="16">
        <f t="shared" si="53"/>
        <v>0</v>
      </c>
      <c r="P150" s="16">
        <f t="shared" si="47"/>
        <v>0</v>
      </c>
      <c r="Q150" s="26">
        <f t="shared" si="48"/>
        <v>0</v>
      </c>
      <c r="R150" s="26">
        <f t="shared" si="54"/>
        <v>0</v>
      </c>
      <c r="S150" s="16">
        <f t="shared" si="55"/>
        <v>0</v>
      </c>
      <c r="T150" s="16">
        <f t="shared" si="56"/>
        <v>0</v>
      </c>
      <c r="U150" s="28">
        <f t="shared" si="57"/>
        <v>0</v>
      </c>
      <c r="V150" s="28">
        <f t="shared" si="58"/>
        <v>0</v>
      </c>
      <c r="W150" s="16">
        <f t="shared" si="59"/>
        <v>0</v>
      </c>
      <c r="Y150" s="1"/>
    </row>
    <row r="151" spans="7:25" x14ac:dyDescent="0.25">
      <c r="G151">
        <v>141</v>
      </c>
      <c r="H151" s="21">
        <v>48122</v>
      </c>
      <c r="I151" s="16">
        <f t="shared" si="45"/>
        <v>0</v>
      </c>
      <c r="J151" s="16">
        <f t="shared" si="49"/>
        <v>0</v>
      </c>
      <c r="K151" s="16">
        <f t="shared" si="50"/>
        <v>0</v>
      </c>
      <c r="L151" s="16">
        <f t="shared" si="51"/>
        <v>0</v>
      </c>
      <c r="M151" s="26">
        <f t="shared" si="46"/>
        <v>0</v>
      </c>
      <c r="N151" s="26">
        <f t="shared" si="52"/>
        <v>0</v>
      </c>
      <c r="O151" s="16">
        <f t="shared" si="53"/>
        <v>0</v>
      </c>
      <c r="P151" s="16">
        <f t="shared" si="47"/>
        <v>0</v>
      </c>
      <c r="Q151" s="26">
        <f t="shared" si="48"/>
        <v>0</v>
      </c>
      <c r="R151" s="26">
        <f t="shared" si="54"/>
        <v>0</v>
      </c>
      <c r="S151" s="16">
        <f t="shared" si="55"/>
        <v>0</v>
      </c>
      <c r="T151" s="16">
        <f t="shared" si="56"/>
        <v>0</v>
      </c>
      <c r="U151" s="28">
        <f t="shared" si="57"/>
        <v>0</v>
      </c>
      <c r="V151" s="28">
        <f t="shared" si="58"/>
        <v>0</v>
      </c>
      <c r="W151" s="16">
        <f t="shared" si="59"/>
        <v>0</v>
      </c>
      <c r="Y151" s="1"/>
    </row>
    <row r="152" spans="7:25" x14ac:dyDescent="0.25">
      <c r="G152">
        <v>142</v>
      </c>
      <c r="H152" s="21">
        <v>48153</v>
      </c>
      <c r="I152" s="16">
        <f t="shared" si="45"/>
        <v>0</v>
      </c>
      <c r="J152" s="16">
        <f t="shared" si="49"/>
        <v>0</v>
      </c>
      <c r="K152" s="16">
        <f t="shared" si="50"/>
        <v>0</v>
      </c>
      <c r="L152" s="16">
        <f t="shared" si="51"/>
        <v>0</v>
      </c>
      <c r="M152" s="26">
        <f t="shared" si="46"/>
        <v>0</v>
      </c>
      <c r="N152" s="26">
        <f t="shared" si="52"/>
        <v>0</v>
      </c>
      <c r="O152" s="16">
        <f t="shared" si="53"/>
        <v>0</v>
      </c>
      <c r="P152" s="16">
        <f t="shared" si="47"/>
        <v>0</v>
      </c>
      <c r="Q152" s="26">
        <f t="shared" si="48"/>
        <v>0</v>
      </c>
      <c r="R152" s="26">
        <f t="shared" si="54"/>
        <v>0</v>
      </c>
      <c r="S152" s="16">
        <f t="shared" si="55"/>
        <v>0</v>
      </c>
      <c r="T152" s="16">
        <f t="shared" si="56"/>
        <v>0</v>
      </c>
      <c r="U152" s="28">
        <f t="shared" si="57"/>
        <v>0</v>
      </c>
      <c r="V152" s="28">
        <f t="shared" si="58"/>
        <v>0</v>
      </c>
      <c r="W152" s="16">
        <f t="shared" si="59"/>
        <v>0</v>
      </c>
      <c r="Y152" s="1"/>
    </row>
    <row r="153" spans="7:25" x14ac:dyDescent="0.25">
      <c r="G153">
        <v>143</v>
      </c>
      <c r="H153" s="21">
        <v>48183</v>
      </c>
      <c r="I153" s="16">
        <f t="shared" si="45"/>
        <v>0</v>
      </c>
      <c r="J153" s="16">
        <f t="shared" si="49"/>
        <v>0</v>
      </c>
      <c r="K153" s="16">
        <f t="shared" si="50"/>
        <v>0</v>
      </c>
      <c r="L153" s="16">
        <f t="shared" si="51"/>
        <v>0</v>
      </c>
      <c r="M153" s="26">
        <f t="shared" si="46"/>
        <v>0</v>
      </c>
      <c r="N153" s="26">
        <f t="shared" si="52"/>
        <v>0</v>
      </c>
      <c r="O153" s="16">
        <f t="shared" si="53"/>
        <v>0</v>
      </c>
      <c r="P153" s="16">
        <f t="shared" si="47"/>
        <v>0</v>
      </c>
      <c r="Q153" s="26">
        <f t="shared" si="48"/>
        <v>0</v>
      </c>
      <c r="R153" s="26">
        <f t="shared" si="54"/>
        <v>0</v>
      </c>
      <c r="S153" s="16">
        <f t="shared" si="55"/>
        <v>0</v>
      </c>
      <c r="T153" s="16">
        <f t="shared" si="56"/>
        <v>0</v>
      </c>
      <c r="U153" s="28">
        <f t="shared" si="57"/>
        <v>0</v>
      </c>
      <c r="V153" s="28">
        <f t="shared" si="58"/>
        <v>0</v>
      </c>
      <c r="W153" s="16">
        <f t="shared" si="59"/>
        <v>0</v>
      </c>
      <c r="Y153" s="1"/>
    </row>
    <row r="154" spans="7:25" x14ac:dyDescent="0.25">
      <c r="G154">
        <v>144</v>
      </c>
      <c r="H154" s="21">
        <v>48214</v>
      </c>
      <c r="I154" s="16">
        <f t="shared" si="45"/>
        <v>0</v>
      </c>
      <c r="J154" s="16">
        <f t="shared" si="49"/>
        <v>0</v>
      </c>
      <c r="K154" s="16">
        <f t="shared" si="50"/>
        <v>0</v>
      </c>
      <c r="L154" s="16">
        <f t="shared" si="51"/>
        <v>0</v>
      </c>
      <c r="M154" s="26">
        <f t="shared" si="46"/>
        <v>0</v>
      </c>
      <c r="N154" s="26">
        <f t="shared" si="52"/>
        <v>0</v>
      </c>
      <c r="O154" s="16">
        <f t="shared" si="53"/>
        <v>0</v>
      </c>
      <c r="P154" s="16">
        <f t="shared" si="47"/>
        <v>0</v>
      </c>
      <c r="Q154" s="26">
        <f t="shared" si="48"/>
        <v>0</v>
      </c>
      <c r="R154" s="26">
        <f t="shared" si="54"/>
        <v>0</v>
      </c>
      <c r="S154" s="16">
        <f t="shared" si="55"/>
        <v>0</v>
      </c>
      <c r="T154" s="16">
        <f t="shared" si="56"/>
        <v>0</v>
      </c>
      <c r="U154" s="28">
        <f t="shared" si="57"/>
        <v>0</v>
      </c>
      <c r="V154" s="28">
        <f t="shared" si="58"/>
        <v>0</v>
      </c>
      <c r="W154" s="16">
        <f t="shared" si="59"/>
        <v>0</v>
      </c>
      <c r="Y154" s="1"/>
    </row>
    <row r="155" spans="7:25" x14ac:dyDescent="0.25">
      <c r="G155">
        <v>145</v>
      </c>
      <c r="H155" s="21">
        <v>48245</v>
      </c>
      <c r="I155" s="16">
        <f t="shared" si="45"/>
        <v>0</v>
      </c>
      <c r="J155" s="16">
        <f t="shared" si="49"/>
        <v>0</v>
      </c>
      <c r="K155" s="16">
        <f t="shared" si="50"/>
        <v>0</v>
      </c>
      <c r="L155" s="16">
        <f t="shared" si="51"/>
        <v>0</v>
      </c>
      <c r="M155" s="26">
        <f t="shared" si="46"/>
        <v>0</v>
      </c>
      <c r="N155" s="26">
        <f t="shared" si="52"/>
        <v>0</v>
      </c>
      <c r="O155" s="16">
        <f t="shared" si="53"/>
        <v>0</v>
      </c>
      <c r="P155" s="16">
        <f t="shared" si="47"/>
        <v>0</v>
      </c>
      <c r="Q155" s="26">
        <f t="shared" si="48"/>
        <v>0</v>
      </c>
      <c r="R155" s="26">
        <f t="shared" si="54"/>
        <v>0</v>
      </c>
      <c r="S155" s="16">
        <f t="shared" si="55"/>
        <v>0</v>
      </c>
      <c r="T155" s="16">
        <f t="shared" si="56"/>
        <v>0</v>
      </c>
      <c r="U155" s="28">
        <f t="shared" si="57"/>
        <v>0</v>
      </c>
      <c r="V155" s="28">
        <f t="shared" si="58"/>
        <v>0</v>
      </c>
      <c r="W155" s="16">
        <f t="shared" si="59"/>
        <v>0</v>
      </c>
      <c r="Y155" s="1"/>
    </row>
    <row r="156" spans="7:25" x14ac:dyDescent="0.25">
      <c r="G156">
        <v>146</v>
      </c>
      <c r="H156" s="21">
        <v>48274</v>
      </c>
      <c r="I156" s="16">
        <f t="shared" si="45"/>
        <v>0</v>
      </c>
      <c r="J156" s="16">
        <f t="shared" si="49"/>
        <v>0</v>
      </c>
      <c r="K156" s="16">
        <f t="shared" si="50"/>
        <v>0</v>
      </c>
      <c r="L156" s="16">
        <f t="shared" si="51"/>
        <v>0</v>
      </c>
      <c r="M156" s="26">
        <f t="shared" si="46"/>
        <v>0</v>
      </c>
      <c r="N156" s="26">
        <f t="shared" si="52"/>
        <v>0</v>
      </c>
      <c r="O156" s="16">
        <f t="shared" si="53"/>
        <v>0</v>
      </c>
      <c r="P156" s="16">
        <f t="shared" si="47"/>
        <v>0</v>
      </c>
      <c r="Q156" s="26">
        <f t="shared" si="48"/>
        <v>0</v>
      </c>
      <c r="R156" s="26">
        <f t="shared" si="54"/>
        <v>0</v>
      </c>
      <c r="S156" s="16">
        <f t="shared" si="55"/>
        <v>0</v>
      </c>
      <c r="T156" s="16">
        <f t="shared" si="56"/>
        <v>0</v>
      </c>
      <c r="U156" s="28">
        <f t="shared" si="57"/>
        <v>0</v>
      </c>
      <c r="V156" s="28">
        <f t="shared" si="58"/>
        <v>0</v>
      </c>
      <c r="W156" s="16">
        <f t="shared" si="59"/>
        <v>0</v>
      </c>
      <c r="Y156" s="1"/>
    </row>
    <row r="157" spans="7:25" x14ac:dyDescent="0.25">
      <c r="G157">
        <v>147</v>
      </c>
      <c r="H157" s="21">
        <v>48305</v>
      </c>
      <c r="I157" s="16">
        <f t="shared" si="45"/>
        <v>0</v>
      </c>
      <c r="J157" s="16">
        <f t="shared" si="49"/>
        <v>0</v>
      </c>
      <c r="K157" s="16">
        <f t="shared" si="50"/>
        <v>0</v>
      </c>
      <c r="L157" s="16">
        <f t="shared" si="51"/>
        <v>0</v>
      </c>
      <c r="M157" s="26">
        <f t="shared" si="46"/>
        <v>0</v>
      </c>
      <c r="N157" s="26">
        <f t="shared" si="52"/>
        <v>0</v>
      </c>
      <c r="O157" s="16">
        <f t="shared" si="53"/>
        <v>0</v>
      </c>
      <c r="P157" s="16">
        <f t="shared" si="47"/>
        <v>0</v>
      </c>
      <c r="Q157" s="26">
        <f t="shared" si="48"/>
        <v>0</v>
      </c>
      <c r="R157" s="26">
        <f t="shared" si="54"/>
        <v>0</v>
      </c>
      <c r="S157" s="16">
        <f t="shared" si="55"/>
        <v>0</v>
      </c>
      <c r="T157" s="16">
        <f t="shared" si="56"/>
        <v>0</v>
      </c>
      <c r="U157" s="28">
        <f t="shared" si="57"/>
        <v>0</v>
      </c>
      <c r="V157" s="28">
        <f t="shared" si="58"/>
        <v>0</v>
      </c>
      <c r="W157" s="16">
        <f t="shared" si="59"/>
        <v>0</v>
      </c>
      <c r="Y157" s="1"/>
    </row>
    <row r="158" spans="7:25" x14ac:dyDescent="0.25">
      <c r="G158">
        <v>148</v>
      </c>
      <c r="H158" s="21">
        <v>48335</v>
      </c>
      <c r="I158" s="16">
        <f t="shared" si="45"/>
        <v>0</v>
      </c>
      <c r="J158" s="16">
        <f t="shared" si="49"/>
        <v>0</v>
      </c>
      <c r="K158" s="16">
        <f t="shared" si="50"/>
        <v>0</v>
      </c>
      <c r="L158" s="16">
        <f t="shared" si="51"/>
        <v>0</v>
      </c>
      <c r="M158" s="26">
        <f t="shared" si="46"/>
        <v>0</v>
      </c>
      <c r="N158" s="26">
        <f t="shared" si="52"/>
        <v>0</v>
      </c>
      <c r="O158" s="16">
        <f t="shared" si="53"/>
        <v>0</v>
      </c>
      <c r="P158" s="16">
        <f t="shared" si="47"/>
        <v>0</v>
      </c>
      <c r="Q158" s="26">
        <f t="shared" si="48"/>
        <v>0</v>
      </c>
      <c r="R158" s="26">
        <f t="shared" si="54"/>
        <v>0</v>
      </c>
      <c r="S158" s="16">
        <f t="shared" si="55"/>
        <v>0</v>
      </c>
      <c r="T158" s="16">
        <f t="shared" si="56"/>
        <v>0</v>
      </c>
      <c r="U158" s="28">
        <f t="shared" si="57"/>
        <v>0</v>
      </c>
      <c r="V158" s="28">
        <f t="shared" si="58"/>
        <v>0</v>
      </c>
      <c r="W158" s="16">
        <f t="shared" si="59"/>
        <v>0</v>
      </c>
      <c r="Y158" s="1"/>
    </row>
    <row r="159" spans="7:25" x14ac:dyDescent="0.25">
      <c r="G159">
        <v>149</v>
      </c>
      <c r="H159" s="21">
        <v>48366</v>
      </c>
      <c r="I159" s="16">
        <f t="shared" si="45"/>
        <v>0</v>
      </c>
      <c r="J159" s="16">
        <f t="shared" si="49"/>
        <v>0</v>
      </c>
      <c r="K159" s="16">
        <f t="shared" si="50"/>
        <v>0</v>
      </c>
      <c r="L159" s="16">
        <f t="shared" si="51"/>
        <v>0</v>
      </c>
      <c r="M159" s="26">
        <f t="shared" si="46"/>
        <v>0</v>
      </c>
      <c r="N159" s="26">
        <f t="shared" si="52"/>
        <v>0</v>
      </c>
      <c r="O159" s="16">
        <f t="shared" si="53"/>
        <v>0</v>
      </c>
      <c r="P159" s="16">
        <f t="shared" si="47"/>
        <v>0</v>
      </c>
      <c r="Q159" s="26">
        <f t="shared" si="48"/>
        <v>0</v>
      </c>
      <c r="R159" s="26">
        <f t="shared" si="54"/>
        <v>0</v>
      </c>
      <c r="S159" s="16">
        <f t="shared" si="55"/>
        <v>0</v>
      </c>
      <c r="T159" s="16">
        <f t="shared" si="56"/>
        <v>0</v>
      </c>
      <c r="U159" s="28">
        <f t="shared" si="57"/>
        <v>0</v>
      </c>
      <c r="V159" s="28">
        <f t="shared" si="58"/>
        <v>0</v>
      </c>
      <c r="W159" s="16">
        <f t="shared" si="59"/>
        <v>0</v>
      </c>
      <c r="Y159" s="1"/>
    </row>
    <row r="160" spans="7:25" x14ac:dyDescent="0.25">
      <c r="G160">
        <v>150</v>
      </c>
      <c r="H160" s="21">
        <v>48396</v>
      </c>
      <c r="I160" s="16">
        <f t="shared" si="45"/>
        <v>0</v>
      </c>
      <c r="J160" s="16">
        <f t="shared" si="49"/>
        <v>0</v>
      </c>
      <c r="K160" s="16">
        <f t="shared" si="50"/>
        <v>0</v>
      </c>
      <c r="L160" s="16">
        <f t="shared" si="51"/>
        <v>0</v>
      </c>
      <c r="M160" s="26">
        <f t="shared" si="46"/>
        <v>0</v>
      </c>
      <c r="N160" s="26">
        <f t="shared" si="52"/>
        <v>0</v>
      </c>
      <c r="O160" s="16">
        <f t="shared" si="53"/>
        <v>0</v>
      </c>
      <c r="P160" s="16">
        <f t="shared" si="47"/>
        <v>0</v>
      </c>
      <c r="Q160" s="26">
        <f t="shared" si="48"/>
        <v>0</v>
      </c>
      <c r="R160" s="26">
        <f t="shared" si="54"/>
        <v>0</v>
      </c>
      <c r="S160" s="16">
        <f t="shared" si="55"/>
        <v>0</v>
      </c>
      <c r="T160" s="16">
        <f t="shared" si="56"/>
        <v>0</v>
      </c>
      <c r="U160" s="28">
        <f t="shared" si="57"/>
        <v>0</v>
      </c>
      <c r="V160" s="28">
        <f t="shared" si="58"/>
        <v>0</v>
      </c>
      <c r="W160" s="16">
        <f t="shared" si="59"/>
        <v>0</v>
      </c>
      <c r="Y160" s="1"/>
    </row>
    <row r="161" spans="7:25" x14ac:dyDescent="0.25">
      <c r="G161">
        <v>151</v>
      </c>
      <c r="H161" s="21">
        <v>48427</v>
      </c>
      <c r="I161" s="16">
        <f t="shared" si="45"/>
        <v>0</v>
      </c>
      <c r="J161" s="16">
        <f t="shared" si="49"/>
        <v>0</v>
      </c>
      <c r="K161" s="16">
        <f t="shared" si="50"/>
        <v>0</v>
      </c>
      <c r="L161" s="16">
        <f t="shared" si="51"/>
        <v>0</v>
      </c>
      <c r="M161" s="26">
        <f t="shared" si="46"/>
        <v>0</v>
      </c>
      <c r="N161" s="26">
        <f t="shared" si="52"/>
        <v>0</v>
      </c>
      <c r="O161" s="16">
        <f t="shared" si="53"/>
        <v>0</v>
      </c>
      <c r="P161" s="16">
        <f t="shared" si="47"/>
        <v>0</v>
      </c>
      <c r="Q161" s="26">
        <f t="shared" si="48"/>
        <v>0</v>
      </c>
      <c r="R161" s="26">
        <f t="shared" si="54"/>
        <v>0</v>
      </c>
      <c r="S161" s="16">
        <f t="shared" si="55"/>
        <v>0</v>
      </c>
      <c r="T161" s="16">
        <f t="shared" si="56"/>
        <v>0</v>
      </c>
      <c r="U161" s="28">
        <f t="shared" si="57"/>
        <v>0</v>
      </c>
      <c r="V161" s="28">
        <f t="shared" si="58"/>
        <v>0</v>
      </c>
      <c r="W161" s="16">
        <f t="shared" si="59"/>
        <v>0</v>
      </c>
      <c r="Y161" s="1"/>
    </row>
    <row r="162" spans="7:25" x14ac:dyDescent="0.25">
      <c r="G162">
        <v>152</v>
      </c>
      <c r="H162" s="21">
        <v>48458</v>
      </c>
      <c r="I162" s="16">
        <f t="shared" si="45"/>
        <v>0</v>
      </c>
      <c r="J162" s="16">
        <f t="shared" si="49"/>
        <v>0</v>
      </c>
      <c r="K162" s="16">
        <f t="shared" si="50"/>
        <v>0</v>
      </c>
      <c r="L162" s="16">
        <f t="shared" si="51"/>
        <v>0</v>
      </c>
      <c r="M162" s="26">
        <f t="shared" si="46"/>
        <v>0</v>
      </c>
      <c r="N162" s="26">
        <f t="shared" si="52"/>
        <v>0</v>
      </c>
      <c r="O162" s="16">
        <f t="shared" si="53"/>
        <v>0</v>
      </c>
      <c r="P162" s="16">
        <f t="shared" si="47"/>
        <v>0</v>
      </c>
      <c r="Q162" s="26">
        <f t="shared" si="48"/>
        <v>0</v>
      </c>
      <c r="R162" s="26">
        <f t="shared" si="54"/>
        <v>0</v>
      </c>
      <c r="S162" s="16">
        <f t="shared" si="55"/>
        <v>0</v>
      </c>
      <c r="T162" s="16">
        <f t="shared" si="56"/>
        <v>0</v>
      </c>
      <c r="U162" s="28">
        <f t="shared" si="57"/>
        <v>0</v>
      </c>
      <c r="V162" s="28">
        <f t="shared" si="58"/>
        <v>0</v>
      </c>
      <c r="W162" s="16">
        <f t="shared" si="59"/>
        <v>0</v>
      </c>
      <c r="Y162" s="1"/>
    </row>
    <row r="163" spans="7:25" x14ac:dyDescent="0.25">
      <c r="G163">
        <v>153</v>
      </c>
      <c r="H163" s="21">
        <v>48488</v>
      </c>
      <c r="I163" s="16">
        <f t="shared" si="45"/>
        <v>0</v>
      </c>
      <c r="J163" s="16">
        <f t="shared" si="49"/>
        <v>0</v>
      </c>
      <c r="K163" s="16">
        <f t="shared" si="50"/>
        <v>0</v>
      </c>
      <c r="L163" s="16">
        <f t="shared" si="51"/>
        <v>0</v>
      </c>
      <c r="M163" s="26">
        <f t="shared" si="46"/>
        <v>0</v>
      </c>
      <c r="N163" s="26">
        <f t="shared" si="52"/>
        <v>0</v>
      </c>
      <c r="O163" s="16">
        <f t="shared" si="53"/>
        <v>0</v>
      </c>
      <c r="P163" s="16">
        <f t="shared" si="47"/>
        <v>0</v>
      </c>
      <c r="Q163" s="26">
        <f t="shared" si="48"/>
        <v>0</v>
      </c>
      <c r="R163" s="26">
        <f t="shared" si="54"/>
        <v>0</v>
      </c>
      <c r="S163" s="16">
        <f t="shared" si="55"/>
        <v>0</v>
      </c>
      <c r="T163" s="16">
        <f t="shared" si="56"/>
        <v>0</v>
      </c>
      <c r="U163" s="28">
        <f t="shared" si="57"/>
        <v>0</v>
      </c>
      <c r="V163" s="28">
        <f t="shared" si="58"/>
        <v>0</v>
      </c>
      <c r="W163" s="16">
        <f t="shared" si="59"/>
        <v>0</v>
      </c>
      <c r="Y163" s="1"/>
    </row>
    <row r="164" spans="7:25" x14ac:dyDescent="0.25">
      <c r="G164">
        <v>154</v>
      </c>
      <c r="H164" s="21">
        <v>48519</v>
      </c>
      <c r="I164" s="16">
        <f t="shared" si="45"/>
        <v>0</v>
      </c>
      <c r="J164" s="16">
        <f t="shared" si="49"/>
        <v>0</v>
      </c>
      <c r="K164" s="16">
        <f t="shared" si="50"/>
        <v>0</v>
      </c>
      <c r="L164" s="16">
        <f t="shared" si="51"/>
        <v>0</v>
      </c>
      <c r="M164" s="26">
        <f t="shared" si="46"/>
        <v>0</v>
      </c>
      <c r="N164" s="26">
        <f t="shared" si="52"/>
        <v>0</v>
      </c>
      <c r="O164" s="16">
        <f t="shared" si="53"/>
        <v>0</v>
      </c>
      <c r="P164" s="16">
        <f t="shared" si="47"/>
        <v>0</v>
      </c>
      <c r="Q164" s="26">
        <f t="shared" si="48"/>
        <v>0</v>
      </c>
      <c r="R164" s="26">
        <f t="shared" si="54"/>
        <v>0</v>
      </c>
      <c r="S164" s="16">
        <f t="shared" si="55"/>
        <v>0</v>
      </c>
      <c r="T164" s="16">
        <f t="shared" si="56"/>
        <v>0</v>
      </c>
      <c r="U164" s="28">
        <f t="shared" si="57"/>
        <v>0</v>
      </c>
      <c r="V164" s="28">
        <f t="shared" si="58"/>
        <v>0</v>
      </c>
      <c r="W164" s="16">
        <f t="shared" si="59"/>
        <v>0</v>
      </c>
      <c r="Y164" s="1"/>
    </row>
    <row r="165" spans="7:25" x14ac:dyDescent="0.25">
      <c r="G165">
        <v>155</v>
      </c>
      <c r="H165" s="21">
        <v>48549</v>
      </c>
      <c r="I165" s="16">
        <f t="shared" si="45"/>
        <v>0</v>
      </c>
      <c r="J165" s="16">
        <f t="shared" si="49"/>
        <v>0</v>
      </c>
      <c r="K165" s="16">
        <f t="shared" si="50"/>
        <v>0</v>
      </c>
      <c r="L165" s="16">
        <f t="shared" si="51"/>
        <v>0</v>
      </c>
      <c r="M165" s="26">
        <f t="shared" si="46"/>
        <v>0</v>
      </c>
      <c r="N165" s="26">
        <f t="shared" si="52"/>
        <v>0</v>
      </c>
      <c r="O165" s="16">
        <f t="shared" si="53"/>
        <v>0</v>
      </c>
      <c r="P165" s="16">
        <f t="shared" si="47"/>
        <v>0</v>
      </c>
      <c r="Q165" s="26">
        <f t="shared" si="48"/>
        <v>0</v>
      </c>
      <c r="R165" s="26">
        <f t="shared" si="54"/>
        <v>0</v>
      </c>
      <c r="S165" s="16">
        <f t="shared" si="55"/>
        <v>0</v>
      </c>
      <c r="T165" s="16">
        <f t="shared" si="56"/>
        <v>0</v>
      </c>
      <c r="U165" s="28">
        <f t="shared" si="57"/>
        <v>0</v>
      </c>
      <c r="V165" s="28">
        <f t="shared" si="58"/>
        <v>0</v>
      </c>
      <c r="W165" s="16">
        <f t="shared" si="59"/>
        <v>0</v>
      </c>
      <c r="Y165" s="1"/>
    </row>
    <row r="166" spans="7:25" x14ac:dyDescent="0.25">
      <c r="G166">
        <v>156</v>
      </c>
      <c r="H166" s="21">
        <v>48580</v>
      </c>
      <c r="I166" s="16">
        <f t="shared" si="45"/>
        <v>0</v>
      </c>
      <c r="J166" s="16">
        <f t="shared" si="49"/>
        <v>0</v>
      </c>
      <c r="K166" s="16">
        <f t="shared" si="50"/>
        <v>0</v>
      </c>
      <c r="L166" s="16">
        <f t="shared" si="51"/>
        <v>0</v>
      </c>
      <c r="M166" s="26">
        <f t="shared" si="46"/>
        <v>0</v>
      </c>
      <c r="N166" s="26">
        <f t="shared" si="52"/>
        <v>0</v>
      </c>
      <c r="O166" s="16">
        <f t="shared" si="53"/>
        <v>0</v>
      </c>
      <c r="P166" s="16">
        <f t="shared" si="47"/>
        <v>0</v>
      </c>
      <c r="Q166" s="26">
        <f t="shared" si="48"/>
        <v>0</v>
      </c>
      <c r="R166" s="26">
        <f t="shared" si="54"/>
        <v>0</v>
      </c>
      <c r="S166" s="16">
        <f t="shared" si="55"/>
        <v>0</v>
      </c>
      <c r="T166" s="16">
        <f t="shared" si="56"/>
        <v>0</v>
      </c>
      <c r="U166" s="28">
        <f t="shared" si="57"/>
        <v>0</v>
      </c>
      <c r="V166" s="28">
        <f t="shared" si="58"/>
        <v>0</v>
      </c>
      <c r="W166" s="16">
        <f t="shared" si="59"/>
        <v>0</v>
      </c>
      <c r="Y166" s="1"/>
    </row>
    <row r="167" spans="7:25" x14ac:dyDescent="0.25">
      <c r="G167">
        <v>157</v>
      </c>
      <c r="H167" s="21">
        <v>48611</v>
      </c>
      <c r="I167" s="16">
        <f t="shared" si="45"/>
        <v>0</v>
      </c>
      <c r="J167" s="16">
        <f t="shared" si="49"/>
        <v>0</v>
      </c>
      <c r="K167" s="16">
        <f t="shared" si="50"/>
        <v>0</v>
      </c>
      <c r="L167" s="16">
        <f t="shared" si="51"/>
        <v>0</v>
      </c>
      <c r="M167" s="26">
        <f t="shared" si="46"/>
        <v>0</v>
      </c>
      <c r="N167" s="26">
        <f t="shared" si="52"/>
        <v>0</v>
      </c>
      <c r="O167" s="16">
        <f t="shared" si="53"/>
        <v>0</v>
      </c>
      <c r="P167" s="16">
        <f t="shared" si="47"/>
        <v>0</v>
      </c>
      <c r="Q167" s="26">
        <f t="shared" si="48"/>
        <v>0</v>
      </c>
      <c r="R167" s="26">
        <f t="shared" si="54"/>
        <v>0</v>
      </c>
      <c r="S167" s="16">
        <f t="shared" si="55"/>
        <v>0</v>
      </c>
      <c r="T167" s="16">
        <f t="shared" si="56"/>
        <v>0</v>
      </c>
      <c r="U167" s="28">
        <f t="shared" si="57"/>
        <v>0</v>
      </c>
      <c r="V167" s="28">
        <f t="shared" si="58"/>
        <v>0</v>
      </c>
      <c r="W167" s="16">
        <f t="shared" si="59"/>
        <v>0</v>
      </c>
      <c r="Y167" s="1"/>
    </row>
    <row r="168" spans="7:25" x14ac:dyDescent="0.25">
      <c r="G168">
        <v>158</v>
      </c>
      <c r="H168" s="21">
        <v>48639</v>
      </c>
      <c r="I168" s="16">
        <f t="shared" si="45"/>
        <v>0</v>
      </c>
      <c r="J168" s="16">
        <f t="shared" si="49"/>
        <v>0</v>
      </c>
      <c r="K168" s="16">
        <f t="shared" si="50"/>
        <v>0</v>
      </c>
      <c r="L168" s="16">
        <f t="shared" si="51"/>
        <v>0</v>
      </c>
      <c r="M168" s="26">
        <f t="shared" si="46"/>
        <v>0</v>
      </c>
      <c r="N168" s="26">
        <f t="shared" si="52"/>
        <v>0</v>
      </c>
      <c r="O168" s="16">
        <f t="shared" si="53"/>
        <v>0</v>
      </c>
      <c r="P168" s="16">
        <f t="shared" si="47"/>
        <v>0</v>
      </c>
      <c r="Q168" s="26">
        <f t="shared" si="48"/>
        <v>0</v>
      </c>
      <c r="R168" s="26">
        <f t="shared" si="54"/>
        <v>0</v>
      </c>
      <c r="S168" s="16">
        <f t="shared" si="55"/>
        <v>0</v>
      </c>
      <c r="T168" s="16">
        <f t="shared" si="56"/>
        <v>0</v>
      </c>
      <c r="U168" s="28">
        <f t="shared" si="57"/>
        <v>0</v>
      </c>
      <c r="V168" s="28">
        <f t="shared" si="58"/>
        <v>0</v>
      </c>
      <c r="W168" s="16">
        <f t="shared" si="59"/>
        <v>0</v>
      </c>
      <c r="Y168" s="1"/>
    </row>
    <row r="169" spans="7:25" x14ac:dyDescent="0.25">
      <c r="G169">
        <v>159</v>
      </c>
      <c r="H169" s="21">
        <v>48670</v>
      </c>
      <c r="I169" s="16">
        <f t="shared" si="45"/>
        <v>0</v>
      </c>
      <c r="J169" s="16">
        <f t="shared" si="49"/>
        <v>0</v>
      </c>
      <c r="K169" s="16">
        <f t="shared" si="50"/>
        <v>0</v>
      </c>
      <c r="L169" s="16">
        <f t="shared" si="51"/>
        <v>0</v>
      </c>
      <c r="M169" s="26">
        <f t="shared" si="46"/>
        <v>0</v>
      </c>
      <c r="N169" s="26">
        <f t="shared" si="52"/>
        <v>0</v>
      </c>
      <c r="O169" s="16">
        <f t="shared" si="53"/>
        <v>0</v>
      </c>
      <c r="P169" s="16">
        <f t="shared" si="47"/>
        <v>0</v>
      </c>
      <c r="Q169" s="26">
        <f t="shared" si="48"/>
        <v>0</v>
      </c>
      <c r="R169" s="26">
        <f t="shared" si="54"/>
        <v>0</v>
      </c>
      <c r="S169" s="16">
        <f t="shared" si="55"/>
        <v>0</v>
      </c>
      <c r="T169" s="16">
        <f t="shared" si="56"/>
        <v>0</v>
      </c>
      <c r="U169" s="28">
        <f t="shared" si="57"/>
        <v>0</v>
      </c>
      <c r="V169" s="28">
        <f t="shared" si="58"/>
        <v>0</v>
      </c>
      <c r="W169" s="16">
        <f t="shared" si="59"/>
        <v>0</v>
      </c>
      <c r="Y169" s="1"/>
    </row>
    <row r="170" spans="7:25" x14ac:dyDescent="0.25">
      <c r="G170">
        <v>160</v>
      </c>
      <c r="H170" s="21">
        <v>48700</v>
      </c>
      <c r="I170" s="16">
        <f t="shared" si="45"/>
        <v>0</v>
      </c>
      <c r="J170" s="16">
        <f t="shared" si="49"/>
        <v>0</v>
      </c>
      <c r="K170" s="16">
        <f t="shared" si="50"/>
        <v>0</v>
      </c>
      <c r="L170" s="16">
        <f t="shared" si="51"/>
        <v>0</v>
      </c>
      <c r="M170" s="26">
        <f t="shared" si="46"/>
        <v>0</v>
      </c>
      <c r="N170" s="26">
        <f t="shared" si="52"/>
        <v>0</v>
      </c>
      <c r="O170" s="16">
        <f t="shared" si="53"/>
        <v>0</v>
      </c>
      <c r="P170" s="16">
        <f t="shared" si="47"/>
        <v>0</v>
      </c>
      <c r="Q170" s="26">
        <f t="shared" si="48"/>
        <v>0</v>
      </c>
      <c r="R170" s="26">
        <f t="shared" si="54"/>
        <v>0</v>
      </c>
      <c r="S170" s="16">
        <f t="shared" si="55"/>
        <v>0</v>
      </c>
      <c r="T170" s="16">
        <f t="shared" si="56"/>
        <v>0</v>
      </c>
      <c r="U170" s="28">
        <f t="shared" si="57"/>
        <v>0</v>
      </c>
      <c r="V170" s="28">
        <f t="shared" si="58"/>
        <v>0</v>
      </c>
      <c r="W170" s="16">
        <f t="shared" si="59"/>
        <v>0</v>
      </c>
      <c r="Y170" s="1"/>
    </row>
    <row r="171" spans="7:25" x14ac:dyDescent="0.25">
      <c r="G171">
        <v>161</v>
      </c>
      <c r="H171" s="21">
        <v>48731</v>
      </c>
      <c r="I171" s="16">
        <f t="shared" ref="I171:I190" si="60">IF(G171&lt;$D$14,(M171-L171-K171)*1/(1+$D$21),IF(G171=$D$14,(M171-L171-K171-$D$20)*1/(1+$D$21),0))</f>
        <v>0</v>
      </c>
      <c r="J171" s="16">
        <f t="shared" si="49"/>
        <v>0</v>
      </c>
      <c r="K171" s="16">
        <f t="shared" si="50"/>
        <v>0</v>
      </c>
      <c r="L171" s="16">
        <f t="shared" si="51"/>
        <v>0</v>
      </c>
      <c r="M171" s="26">
        <f t="shared" ref="M171:M190" si="61">IF(G171&lt;=$D$14,-$D$25,0)+IF(G171=$D$14,$D$20,0)</f>
        <v>0</v>
      </c>
      <c r="N171" s="26">
        <f t="shared" si="52"/>
        <v>0</v>
      </c>
      <c r="O171" s="16">
        <f t="shared" si="53"/>
        <v>0</v>
      </c>
      <c r="P171" s="16">
        <f t="shared" ref="P171:P190" si="62">IF($D$32="нет",0,J171+L171+IF(G171=$D$14,$D$20*$D$21/(1+$D$21),0))</f>
        <v>0</v>
      </c>
      <c r="Q171" s="26">
        <f t="shared" ref="Q171:Q190" si="63">IF(G171&lt;=$D$14,M171-P171,0)</f>
        <v>0</v>
      </c>
      <c r="R171" s="26">
        <f t="shared" si="54"/>
        <v>0</v>
      </c>
      <c r="S171" s="16">
        <f t="shared" si="55"/>
        <v>0</v>
      </c>
      <c r="T171" s="16">
        <f t="shared" si="56"/>
        <v>0</v>
      </c>
      <c r="U171" s="28">
        <f t="shared" si="57"/>
        <v>0</v>
      </c>
      <c r="V171" s="28">
        <f t="shared" si="58"/>
        <v>0</v>
      </c>
      <c r="W171" s="16">
        <f t="shared" si="59"/>
        <v>0</v>
      </c>
      <c r="Y171" s="1"/>
    </row>
    <row r="172" spans="7:25" x14ac:dyDescent="0.25">
      <c r="G172">
        <v>162</v>
      </c>
      <c r="H172" s="21">
        <v>48761</v>
      </c>
      <c r="I172" s="16">
        <f t="shared" si="60"/>
        <v>0</v>
      </c>
      <c r="J172" s="16">
        <f t="shared" si="49"/>
        <v>0</v>
      </c>
      <c r="K172" s="16">
        <f t="shared" ref="K172:K190" si="64">IF(G172&lt;=$D$14,O171*$D$17,0)</f>
        <v>0</v>
      </c>
      <c r="L172" s="16">
        <f t="shared" si="51"/>
        <v>0</v>
      </c>
      <c r="M172" s="26">
        <f t="shared" si="61"/>
        <v>0</v>
      </c>
      <c r="N172" s="26">
        <f t="shared" si="52"/>
        <v>0</v>
      </c>
      <c r="O172" s="16">
        <f t="shared" ref="O172:O190" si="65">IF(G172&lt;$D$14,O171-I172-J172,0)</f>
        <v>0</v>
      </c>
      <c r="P172" s="16">
        <f t="shared" si="62"/>
        <v>0</v>
      </c>
      <c r="Q172" s="26">
        <f t="shared" si="63"/>
        <v>0</v>
      </c>
      <c r="R172" s="26">
        <f t="shared" si="54"/>
        <v>0</v>
      </c>
      <c r="S172" s="16">
        <f t="shared" si="55"/>
        <v>0</v>
      </c>
      <c r="T172" s="16">
        <f t="shared" si="56"/>
        <v>0</v>
      </c>
      <c r="U172" s="28">
        <f t="shared" si="57"/>
        <v>0</v>
      </c>
      <c r="V172" s="28">
        <f t="shared" si="58"/>
        <v>0</v>
      </c>
      <c r="W172" s="16">
        <f t="shared" ref="W172:W190" si="66">IF(G172&lt;=$D$14,O171*$D$23,0)</f>
        <v>0</v>
      </c>
      <c r="Y172" s="1"/>
    </row>
    <row r="173" spans="7:25" x14ac:dyDescent="0.25">
      <c r="G173">
        <v>163</v>
      </c>
      <c r="H173" s="21">
        <v>48792</v>
      </c>
      <c r="I173" s="16">
        <f t="shared" si="60"/>
        <v>0</v>
      </c>
      <c r="J173" s="16">
        <f t="shared" si="49"/>
        <v>0</v>
      </c>
      <c r="K173" s="16">
        <f t="shared" si="64"/>
        <v>0</v>
      </c>
      <c r="L173" s="16">
        <f t="shared" si="51"/>
        <v>0</v>
      </c>
      <c r="M173" s="26">
        <f t="shared" si="61"/>
        <v>0</v>
      </c>
      <c r="N173" s="26">
        <f t="shared" si="52"/>
        <v>0</v>
      </c>
      <c r="O173" s="16">
        <f t="shared" si="65"/>
        <v>0</v>
      </c>
      <c r="P173" s="16">
        <f t="shared" si="62"/>
        <v>0</v>
      </c>
      <c r="Q173" s="26">
        <f t="shared" si="63"/>
        <v>0</v>
      </c>
      <c r="R173" s="26">
        <f t="shared" si="54"/>
        <v>0</v>
      </c>
      <c r="S173" s="16">
        <f t="shared" si="55"/>
        <v>0</v>
      </c>
      <c r="T173" s="16">
        <f t="shared" si="56"/>
        <v>0</v>
      </c>
      <c r="U173" s="28">
        <f t="shared" si="57"/>
        <v>0</v>
      </c>
      <c r="V173" s="28">
        <f t="shared" si="58"/>
        <v>0</v>
      </c>
      <c r="W173" s="16">
        <f t="shared" si="66"/>
        <v>0</v>
      </c>
      <c r="Y173" s="1"/>
    </row>
    <row r="174" spans="7:25" x14ac:dyDescent="0.25">
      <c r="G174">
        <v>164</v>
      </c>
      <c r="H174" s="21">
        <v>48823</v>
      </c>
      <c r="I174" s="16">
        <f t="shared" si="60"/>
        <v>0</v>
      </c>
      <c r="J174" s="16">
        <f t="shared" si="49"/>
        <v>0</v>
      </c>
      <c r="K174" s="16">
        <f t="shared" si="64"/>
        <v>0</v>
      </c>
      <c r="L174" s="16">
        <f t="shared" si="51"/>
        <v>0</v>
      </c>
      <c r="M174" s="26">
        <f t="shared" si="61"/>
        <v>0</v>
      </c>
      <c r="N174" s="26">
        <f t="shared" si="52"/>
        <v>0</v>
      </c>
      <c r="O174" s="16">
        <f t="shared" si="65"/>
        <v>0</v>
      </c>
      <c r="P174" s="16">
        <f t="shared" si="62"/>
        <v>0</v>
      </c>
      <c r="Q174" s="26">
        <f t="shared" si="63"/>
        <v>0</v>
      </c>
      <c r="R174" s="26">
        <f t="shared" si="54"/>
        <v>0</v>
      </c>
      <c r="S174" s="16">
        <f t="shared" si="55"/>
        <v>0</v>
      </c>
      <c r="T174" s="16">
        <f t="shared" si="56"/>
        <v>0</v>
      </c>
      <c r="U174" s="28">
        <f t="shared" si="57"/>
        <v>0</v>
      </c>
      <c r="V174" s="28">
        <f t="shared" si="58"/>
        <v>0</v>
      </c>
      <c r="W174" s="16">
        <f t="shared" si="66"/>
        <v>0</v>
      </c>
      <c r="Y174" s="1"/>
    </row>
    <row r="175" spans="7:25" x14ac:dyDescent="0.25">
      <c r="G175">
        <v>165</v>
      </c>
      <c r="H175" s="21">
        <v>48853</v>
      </c>
      <c r="I175" s="16">
        <f t="shared" si="60"/>
        <v>0</v>
      </c>
      <c r="J175" s="16">
        <f t="shared" si="49"/>
        <v>0</v>
      </c>
      <c r="K175" s="16">
        <f t="shared" si="64"/>
        <v>0</v>
      </c>
      <c r="L175" s="16">
        <f t="shared" si="51"/>
        <v>0</v>
      </c>
      <c r="M175" s="26">
        <f t="shared" si="61"/>
        <v>0</v>
      </c>
      <c r="N175" s="26">
        <f t="shared" si="52"/>
        <v>0</v>
      </c>
      <c r="O175" s="16">
        <f t="shared" si="65"/>
        <v>0</v>
      </c>
      <c r="P175" s="16">
        <f t="shared" si="62"/>
        <v>0</v>
      </c>
      <c r="Q175" s="26">
        <f t="shared" si="63"/>
        <v>0</v>
      </c>
      <c r="R175" s="26">
        <f t="shared" si="54"/>
        <v>0</v>
      </c>
      <c r="S175" s="16">
        <f t="shared" si="55"/>
        <v>0</v>
      </c>
      <c r="T175" s="16">
        <f t="shared" si="56"/>
        <v>0</v>
      </c>
      <c r="U175" s="28">
        <f t="shared" si="57"/>
        <v>0</v>
      </c>
      <c r="V175" s="28">
        <f t="shared" si="58"/>
        <v>0</v>
      </c>
      <c r="W175" s="16">
        <f t="shared" si="66"/>
        <v>0</v>
      </c>
      <c r="Y175" s="1"/>
    </row>
    <row r="176" spans="7:25" x14ac:dyDescent="0.25">
      <c r="G176">
        <v>166</v>
      </c>
      <c r="H176" s="21">
        <v>48884</v>
      </c>
      <c r="I176" s="16">
        <f t="shared" si="60"/>
        <v>0</v>
      </c>
      <c r="J176" s="16">
        <f t="shared" si="49"/>
        <v>0</v>
      </c>
      <c r="K176" s="16">
        <f t="shared" si="64"/>
        <v>0</v>
      </c>
      <c r="L176" s="16">
        <f t="shared" si="51"/>
        <v>0</v>
      </c>
      <c r="M176" s="26">
        <f t="shared" si="61"/>
        <v>0</v>
      </c>
      <c r="N176" s="26">
        <f t="shared" si="52"/>
        <v>0</v>
      </c>
      <c r="O176" s="16">
        <f t="shared" si="65"/>
        <v>0</v>
      </c>
      <c r="P176" s="16">
        <f t="shared" si="62"/>
        <v>0</v>
      </c>
      <c r="Q176" s="26">
        <f t="shared" si="63"/>
        <v>0</v>
      </c>
      <c r="R176" s="26">
        <f t="shared" si="54"/>
        <v>0</v>
      </c>
      <c r="S176" s="16">
        <f t="shared" si="55"/>
        <v>0</v>
      </c>
      <c r="T176" s="16">
        <f t="shared" si="56"/>
        <v>0</v>
      </c>
      <c r="U176" s="28">
        <f t="shared" si="57"/>
        <v>0</v>
      </c>
      <c r="V176" s="28">
        <f t="shared" si="58"/>
        <v>0</v>
      </c>
      <c r="W176" s="16">
        <f t="shared" si="66"/>
        <v>0</v>
      </c>
      <c r="Y176" s="1"/>
    </row>
    <row r="177" spans="7:25" x14ac:dyDescent="0.25">
      <c r="G177">
        <v>167</v>
      </c>
      <c r="H177" s="21">
        <v>48914</v>
      </c>
      <c r="I177" s="16">
        <f t="shared" si="60"/>
        <v>0</v>
      </c>
      <c r="J177" s="16">
        <f t="shared" si="49"/>
        <v>0</v>
      </c>
      <c r="K177" s="16">
        <f t="shared" si="64"/>
        <v>0</v>
      </c>
      <c r="L177" s="16">
        <f t="shared" si="51"/>
        <v>0</v>
      </c>
      <c r="M177" s="26">
        <f t="shared" si="61"/>
        <v>0</v>
      </c>
      <c r="N177" s="26">
        <f t="shared" si="52"/>
        <v>0</v>
      </c>
      <c r="O177" s="16">
        <f t="shared" si="65"/>
        <v>0</v>
      </c>
      <c r="P177" s="16">
        <f t="shared" si="62"/>
        <v>0</v>
      </c>
      <c r="Q177" s="26">
        <f t="shared" si="63"/>
        <v>0</v>
      </c>
      <c r="R177" s="26">
        <f t="shared" si="54"/>
        <v>0</v>
      </c>
      <c r="S177" s="16">
        <f t="shared" si="55"/>
        <v>0</v>
      </c>
      <c r="T177" s="16">
        <f t="shared" si="56"/>
        <v>0</v>
      </c>
      <c r="U177" s="28">
        <f t="shared" si="57"/>
        <v>0</v>
      </c>
      <c r="V177" s="28">
        <f t="shared" si="58"/>
        <v>0</v>
      </c>
      <c r="W177" s="16">
        <f t="shared" si="66"/>
        <v>0</v>
      </c>
      <c r="Y177" s="1"/>
    </row>
    <row r="178" spans="7:25" x14ac:dyDescent="0.25">
      <c r="G178">
        <v>168</v>
      </c>
      <c r="H178" s="21">
        <v>48945</v>
      </c>
      <c r="I178" s="16">
        <f t="shared" si="60"/>
        <v>0</v>
      </c>
      <c r="J178" s="16">
        <f t="shared" si="49"/>
        <v>0</v>
      </c>
      <c r="K178" s="16">
        <f t="shared" si="64"/>
        <v>0</v>
      </c>
      <c r="L178" s="16">
        <f t="shared" si="51"/>
        <v>0</v>
      </c>
      <c r="M178" s="26">
        <f t="shared" si="61"/>
        <v>0</v>
      </c>
      <c r="N178" s="26">
        <f t="shared" si="52"/>
        <v>0</v>
      </c>
      <c r="O178" s="16">
        <f t="shared" si="65"/>
        <v>0</v>
      </c>
      <c r="P178" s="16">
        <f t="shared" si="62"/>
        <v>0</v>
      </c>
      <c r="Q178" s="26">
        <f t="shared" si="63"/>
        <v>0</v>
      </c>
      <c r="R178" s="26">
        <f t="shared" si="54"/>
        <v>0</v>
      </c>
      <c r="S178" s="16">
        <f t="shared" si="55"/>
        <v>0</v>
      </c>
      <c r="T178" s="16">
        <f t="shared" si="56"/>
        <v>0</v>
      </c>
      <c r="U178" s="28">
        <f t="shared" si="57"/>
        <v>0</v>
      </c>
      <c r="V178" s="28">
        <f t="shared" si="58"/>
        <v>0</v>
      </c>
      <c r="W178" s="16">
        <f t="shared" si="66"/>
        <v>0</v>
      </c>
      <c r="Y178" s="1"/>
    </row>
    <row r="179" spans="7:25" x14ac:dyDescent="0.25">
      <c r="G179">
        <v>169</v>
      </c>
      <c r="H179" s="21">
        <v>48976</v>
      </c>
      <c r="I179" s="16">
        <f t="shared" si="60"/>
        <v>0</v>
      </c>
      <c r="J179" s="16">
        <f t="shared" si="49"/>
        <v>0</v>
      </c>
      <c r="K179" s="16">
        <f t="shared" si="64"/>
        <v>0</v>
      </c>
      <c r="L179" s="16">
        <f t="shared" si="51"/>
        <v>0</v>
      </c>
      <c r="M179" s="26">
        <f t="shared" si="61"/>
        <v>0</v>
      </c>
      <c r="N179" s="26">
        <f t="shared" si="52"/>
        <v>0</v>
      </c>
      <c r="O179" s="16">
        <f t="shared" si="65"/>
        <v>0</v>
      </c>
      <c r="P179" s="16">
        <f t="shared" si="62"/>
        <v>0</v>
      </c>
      <c r="Q179" s="26">
        <f t="shared" si="63"/>
        <v>0</v>
      </c>
      <c r="R179" s="26">
        <f t="shared" si="54"/>
        <v>0</v>
      </c>
      <c r="S179" s="16">
        <f t="shared" si="55"/>
        <v>0</v>
      </c>
      <c r="T179" s="16">
        <f t="shared" si="56"/>
        <v>0</v>
      </c>
      <c r="U179" s="28">
        <f t="shared" si="57"/>
        <v>0</v>
      </c>
      <c r="V179" s="28">
        <f t="shared" si="58"/>
        <v>0</v>
      </c>
      <c r="W179" s="16">
        <f t="shared" si="66"/>
        <v>0</v>
      </c>
      <c r="Y179" s="1"/>
    </row>
    <row r="180" spans="7:25" x14ac:dyDescent="0.25">
      <c r="G180">
        <v>170</v>
      </c>
      <c r="H180" s="21">
        <v>49004</v>
      </c>
      <c r="I180" s="16">
        <f t="shared" si="60"/>
        <v>0</v>
      </c>
      <c r="J180" s="16">
        <f t="shared" si="49"/>
        <v>0</v>
      </c>
      <c r="K180" s="16">
        <f t="shared" si="64"/>
        <v>0</v>
      </c>
      <c r="L180" s="16">
        <f t="shared" si="51"/>
        <v>0</v>
      </c>
      <c r="M180" s="26">
        <f t="shared" si="61"/>
        <v>0</v>
      </c>
      <c r="N180" s="26">
        <f t="shared" si="52"/>
        <v>0</v>
      </c>
      <c r="O180" s="16">
        <f t="shared" si="65"/>
        <v>0</v>
      </c>
      <c r="P180" s="16">
        <f t="shared" si="62"/>
        <v>0</v>
      </c>
      <c r="Q180" s="26">
        <f t="shared" si="63"/>
        <v>0</v>
      </c>
      <c r="R180" s="26">
        <f t="shared" si="54"/>
        <v>0</v>
      </c>
      <c r="S180" s="16">
        <f t="shared" si="55"/>
        <v>0</v>
      </c>
      <c r="T180" s="16">
        <f t="shared" si="56"/>
        <v>0</v>
      </c>
      <c r="U180" s="28">
        <f t="shared" si="57"/>
        <v>0</v>
      </c>
      <c r="V180" s="28">
        <f t="shared" si="58"/>
        <v>0</v>
      </c>
      <c r="W180" s="16">
        <f t="shared" si="66"/>
        <v>0</v>
      </c>
      <c r="Y180" s="1"/>
    </row>
    <row r="181" spans="7:25" x14ac:dyDescent="0.25">
      <c r="G181">
        <v>171</v>
      </c>
      <c r="H181" s="21">
        <v>49035</v>
      </c>
      <c r="I181" s="16">
        <f t="shared" si="60"/>
        <v>0</v>
      </c>
      <c r="J181" s="16">
        <f t="shared" si="49"/>
        <v>0</v>
      </c>
      <c r="K181" s="16">
        <f t="shared" si="64"/>
        <v>0</v>
      </c>
      <c r="L181" s="16">
        <f t="shared" si="51"/>
        <v>0</v>
      </c>
      <c r="M181" s="26">
        <f t="shared" si="61"/>
        <v>0</v>
      </c>
      <c r="N181" s="26">
        <f t="shared" si="52"/>
        <v>0</v>
      </c>
      <c r="O181" s="16">
        <f t="shared" si="65"/>
        <v>0</v>
      </c>
      <c r="P181" s="16">
        <f t="shared" si="62"/>
        <v>0</v>
      </c>
      <c r="Q181" s="26">
        <f t="shared" si="63"/>
        <v>0</v>
      </c>
      <c r="R181" s="26">
        <f t="shared" si="54"/>
        <v>0</v>
      </c>
      <c r="S181" s="16">
        <f t="shared" si="55"/>
        <v>0</v>
      </c>
      <c r="T181" s="16">
        <f t="shared" si="56"/>
        <v>0</v>
      </c>
      <c r="U181" s="28">
        <f t="shared" si="57"/>
        <v>0</v>
      </c>
      <c r="V181" s="28">
        <f t="shared" si="58"/>
        <v>0</v>
      </c>
      <c r="W181" s="16">
        <f t="shared" si="66"/>
        <v>0</v>
      </c>
      <c r="Y181" s="1"/>
    </row>
    <row r="182" spans="7:25" x14ac:dyDescent="0.25">
      <c r="G182">
        <v>172</v>
      </c>
      <c r="H182" s="21">
        <v>49065</v>
      </c>
      <c r="I182" s="16">
        <f t="shared" si="60"/>
        <v>0</v>
      </c>
      <c r="J182" s="16">
        <f t="shared" si="49"/>
        <v>0</v>
      </c>
      <c r="K182" s="16">
        <f t="shared" si="64"/>
        <v>0</v>
      </c>
      <c r="L182" s="16">
        <f t="shared" si="51"/>
        <v>0</v>
      </c>
      <c r="M182" s="26">
        <f t="shared" si="61"/>
        <v>0</v>
      </c>
      <c r="N182" s="26">
        <f t="shared" si="52"/>
        <v>0</v>
      </c>
      <c r="O182" s="16">
        <f t="shared" si="65"/>
        <v>0</v>
      </c>
      <c r="P182" s="16">
        <f t="shared" si="62"/>
        <v>0</v>
      </c>
      <c r="Q182" s="26">
        <f t="shared" si="63"/>
        <v>0</v>
      </c>
      <c r="R182" s="26">
        <f t="shared" si="54"/>
        <v>0</v>
      </c>
      <c r="S182" s="16">
        <f t="shared" si="55"/>
        <v>0</v>
      </c>
      <c r="T182" s="16">
        <f t="shared" si="56"/>
        <v>0</v>
      </c>
      <c r="U182" s="28">
        <f t="shared" si="57"/>
        <v>0</v>
      </c>
      <c r="V182" s="28">
        <f t="shared" si="58"/>
        <v>0</v>
      </c>
      <c r="W182" s="16">
        <f t="shared" si="66"/>
        <v>0</v>
      </c>
      <c r="Y182" s="1"/>
    </row>
    <row r="183" spans="7:25" x14ac:dyDescent="0.25">
      <c r="G183">
        <v>173</v>
      </c>
      <c r="H183" s="21">
        <v>49096</v>
      </c>
      <c r="I183" s="16">
        <f t="shared" si="60"/>
        <v>0</v>
      </c>
      <c r="J183" s="16">
        <f t="shared" si="49"/>
        <v>0</v>
      </c>
      <c r="K183" s="16">
        <f t="shared" si="64"/>
        <v>0</v>
      </c>
      <c r="L183" s="16">
        <f t="shared" si="51"/>
        <v>0</v>
      </c>
      <c r="M183" s="26">
        <f t="shared" si="61"/>
        <v>0</v>
      </c>
      <c r="N183" s="26">
        <f t="shared" si="52"/>
        <v>0</v>
      </c>
      <c r="O183" s="16">
        <f t="shared" si="65"/>
        <v>0</v>
      </c>
      <c r="P183" s="16">
        <f t="shared" si="62"/>
        <v>0</v>
      </c>
      <c r="Q183" s="26">
        <f t="shared" si="63"/>
        <v>0</v>
      </c>
      <c r="R183" s="26">
        <f t="shared" si="54"/>
        <v>0</v>
      </c>
      <c r="S183" s="16">
        <f t="shared" si="55"/>
        <v>0</v>
      </c>
      <c r="T183" s="16">
        <f t="shared" si="56"/>
        <v>0</v>
      </c>
      <c r="U183" s="28">
        <f t="shared" si="57"/>
        <v>0</v>
      </c>
      <c r="V183" s="28">
        <f t="shared" si="58"/>
        <v>0</v>
      </c>
      <c r="W183" s="16">
        <f t="shared" si="66"/>
        <v>0</v>
      </c>
      <c r="Y183" s="1"/>
    </row>
    <row r="184" spans="7:25" x14ac:dyDescent="0.25">
      <c r="G184">
        <v>174</v>
      </c>
      <c r="H184" s="21">
        <v>49126</v>
      </c>
      <c r="I184" s="16">
        <f t="shared" si="60"/>
        <v>0</v>
      </c>
      <c r="J184" s="16">
        <f t="shared" si="49"/>
        <v>0</v>
      </c>
      <c r="K184" s="16">
        <f t="shared" si="64"/>
        <v>0</v>
      </c>
      <c r="L184" s="16">
        <f t="shared" si="51"/>
        <v>0</v>
      </c>
      <c r="M184" s="26">
        <f t="shared" si="61"/>
        <v>0</v>
      </c>
      <c r="N184" s="26">
        <f t="shared" si="52"/>
        <v>0</v>
      </c>
      <c r="O184" s="16">
        <f t="shared" si="65"/>
        <v>0</v>
      </c>
      <c r="P184" s="16">
        <f t="shared" si="62"/>
        <v>0</v>
      </c>
      <c r="Q184" s="26">
        <f t="shared" si="63"/>
        <v>0</v>
      </c>
      <c r="R184" s="26">
        <f t="shared" si="54"/>
        <v>0</v>
      </c>
      <c r="S184" s="16">
        <f t="shared" si="55"/>
        <v>0</v>
      </c>
      <c r="T184" s="16">
        <f t="shared" si="56"/>
        <v>0</v>
      </c>
      <c r="U184" s="28">
        <f t="shared" si="57"/>
        <v>0</v>
      </c>
      <c r="V184" s="28">
        <f t="shared" si="58"/>
        <v>0</v>
      </c>
      <c r="W184" s="16">
        <f t="shared" si="66"/>
        <v>0</v>
      </c>
      <c r="Y184" s="1"/>
    </row>
    <row r="185" spans="7:25" x14ac:dyDescent="0.25">
      <c r="G185">
        <v>175</v>
      </c>
      <c r="H185" s="21">
        <v>49157</v>
      </c>
      <c r="I185" s="16">
        <f t="shared" si="60"/>
        <v>0</v>
      </c>
      <c r="J185" s="16">
        <f t="shared" si="49"/>
        <v>0</v>
      </c>
      <c r="K185" s="16">
        <f t="shared" si="64"/>
        <v>0</v>
      </c>
      <c r="L185" s="16">
        <f t="shared" si="51"/>
        <v>0</v>
      </c>
      <c r="M185" s="26">
        <f t="shared" si="61"/>
        <v>0</v>
      </c>
      <c r="N185" s="26">
        <f t="shared" si="52"/>
        <v>0</v>
      </c>
      <c r="O185" s="16">
        <f t="shared" si="65"/>
        <v>0</v>
      </c>
      <c r="P185" s="16">
        <f t="shared" si="62"/>
        <v>0</v>
      </c>
      <c r="Q185" s="26">
        <f t="shared" si="63"/>
        <v>0</v>
      </c>
      <c r="R185" s="26">
        <f t="shared" si="54"/>
        <v>0</v>
      </c>
      <c r="S185" s="16">
        <f t="shared" si="55"/>
        <v>0</v>
      </c>
      <c r="T185" s="16">
        <f t="shared" si="56"/>
        <v>0</v>
      </c>
      <c r="U185" s="28">
        <f t="shared" si="57"/>
        <v>0</v>
      </c>
      <c r="V185" s="28">
        <f t="shared" si="58"/>
        <v>0</v>
      </c>
      <c r="W185" s="16">
        <f t="shared" si="66"/>
        <v>0</v>
      </c>
      <c r="Y185" s="1"/>
    </row>
    <row r="186" spans="7:25" x14ac:dyDescent="0.25">
      <c r="G186">
        <v>176</v>
      </c>
      <c r="H186" s="21">
        <v>49188</v>
      </c>
      <c r="I186" s="16">
        <f t="shared" si="60"/>
        <v>0</v>
      </c>
      <c r="J186" s="16">
        <f t="shared" si="49"/>
        <v>0</v>
      </c>
      <c r="K186" s="16">
        <f t="shared" si="64"/>
        <v>0</v>
      </c>
      <c r="L186" s="16">
        <f t="shared" si="51"/>
        <v>0</v>
      </c>
      <c r="M186" s="26">
        <f t="shared" si="61"/>
        <v>0</v>
      </c>
      <c r="N186" s="26">
        <f t="shared" si="52"/>
        <v>0</v>
      </c>
      <c r="O186" s="16">
        <f t="shared" si="65"/>
        <v>0</v>
      </c>
      <c r="P186" s="16">
        <f t="shared" si="62"/>
        <v>0</v>
      </c>
      <c r="Q186" s="26">
        <f t="shared" si="63"/>
        <v>0</v>
      </c>
      <c r="R186" s="26">
        <f t="shared" si="54"/>
        <v>0</v>
      </c>
      <c r="S186" s="16">
        <f t="shared" si="55"/>
        <v>0</v>
      </c>
      <c r="T186" s="16">
        <f t="shared" si="56"/>
        <v>0</v>
      </c>
      <c r="U186" s="28">
        <f t="shared" si="57"/>
        <v>0</v>
      </c>
      <c r="V186" s="28">
        <f t="shared" si="58"/>
        <v>0</v>
      </c>
      <c r="W186" s="16">
        <f t="shared" si="66"/>
        <v>0</v>
      </c>
      <c r="Y186" s="1"/>
    </row>
    <row r="187" spans="7:25" x14ac:dyDescent="0.25">
      <c r="G187">
        <v>177</v>
      </c>
      <c r="H187" s="21">
        <v>49218</v>
      </c>
      <c r="I187" s="16">
        <f t="shared" si="60"/>
        <v>0</v>
      </c>
      <c r="J187" s="16">
        <f t="shared" si="49"/>
        <v>0</v>
      </c>
      <c r="K187" s="16">
        <f t="shared" si="64"/>
        <v>0</v>
      </c>
      <c r="L187" s="16">
        <f t="shared" si="51"/>
        <v>0</v>
      </c>
      <c r="M187" s="26">
        <f t="shared" si="61"/>
        <v>0</v>
      </c>
      <c r="N187" s="26">
        <f t="shared" si="52"/>
        <v>0</v>
      </c>
      <c r="O187" s="16">
        <f t="shared" si="65"/>
        <v>0</v>
      </c>
      <c r="P187" s="16">
        <f t="shared" si="62"/>
        <v>0</v>
      </c>
      <c r="Q187" s="26">
        <f t="shared" si="63"/>
        <v>0</v>
      </c>
      <c r="R187" s="26">
        <f t="shared" si="54"/>
        <v>0</v>
      </c>
      <c r="S187" s="16">
        <f t="shared" si="55"/>
        <v>0</v>
      </c>
      <c r="T187" s="16">
        <f t="shared" si="56"/>
        <v>0</v>
      </c>
      <c r="U187" s="28">
        <f t="shared" si="57"/>
        <v>0</v>
      </c>
      <c r="V187" s="28">
        <f t="shared" si="58"/>
        <v>0</v>
      </c>
      <c r="W187" s="16">
        <f t="shared" si="66"/>
        <v>0</v>
      </c>
      <c r="Y187" s="1"/>
    </row>
    <row r="188" spans="7:25" x14ac:dyDescent="0.25">
      <c r="G188">
        <v>178</v>
      </c>
      <c r="H188" s="21">
        <v>49249</v>
      </c>
      <c r="I188" s="16">
        <f t="shared" si="60"/>
        <v>0</v>
      </c>
      <c r="J188" s="16">
        <f t="shared" si="49"/>
        <v>0</v>
      </c>
      <c r="K188" s="16">
        <f t="shared" si="64"/>
        <v>0</v>
      </c>
      <c r="L188" s="16">
        <f t="shared" si="51"/>
        <v>0</v>
      </c>
      <c r="M188" s="26">
        <f t="shared" si="61"/>
        <v>0</v>
      </c>
      <c r="N188" s="26">
        <f t="shared" si="52"/>
        <v>0</v>
      </c>
      <c r="O188" s="16">
        <f t="shared" si="65"/>
        <v>0</v>
      </c>
      <c r="P188" s="16">
        <f t="shared" si="62"/>
        <v>0</v>
      </c>
      <c r="Q188" s="26">
        <f t="shared" si="63"/>
        <v>0</v>
      </c>
      <c r="R188" s="26">
        <f t="shared" si="54"/>
        <v>0</v>
      </c>
      <c r="S188" s="16">
        <f t="shared" si="55"/>
        <v>0</v>
      </c>
      <c r="T188" s="16">
        <f t="shared" si="56"/>
        <v>0</v>
      </c>
      <c r="U188" s="28">
        <f t="shared" si="57"/>
        <v>0</v>
      </c>
      <c r="V188" s="28">
        <f t="shared" si="58"/>
        <v>0</v>
      </c>
      <c r="W188" s="16">
        <f t="shared" si="66"/>
        <v>0</v>
      </c>
      <c r="Y188" s="1"/>
    </row>
    <row r="189" spans="7:25" x14ac:dyDescent="0.25">
      <c r="G189">
        <v>179</v>
      </c>
      <c r="H189" s="21">
        <v>49279</v>
      </c>
      <c r="I189" s="16">
        <f t="shared" si="60"/>
        <v>0</v>
      </c>
      <c r="J189" s="16">
        <f t="shared" si="49"/>
        <v>0</v>
      </c>
      <c r="K189" s="16">
        <f t="shared" si="64"/>
        <v>0</v>
      </c>
      <c r="L189" s="16">
        <f t="shared" si="51"/>
        <v>0</v>
      </c>
      <c r="M189" s="26">
        <f t="shared" si="61"/>
        <v>0</v>
      </c>
      <c r="N189" s="26">
        <f t="shared" si="52"/>
        <v>0</v>
      </c>
      <c r="O189" s="16">
        <f t="shared" si="65"/>
        <v>0</v>
      </c>
      <c r="P189" s="16">
        <f t="shared" si="62"/>
        <v>0</v>
      </c>
      <c r="Q189" s="26">
        <f t="shared" si="63"/>
        <v>0</v>
      </c>
      <c r="R189" s="26">
        <f t="shared" si="54"/>
        <v>0</v>
      </c>
      <c r="S189" s="16">
        <f t="shared" si="55"/>
        <v>0</v>
      </c>
      <c r="T189" s="16">
        <f t="shared" si="56"/>
        <v>0</v>
      </c>
      <c r="U189" s="28">
        <f t="shared" si="57"/>
        <v>0</v>
      </c>
      <c r="V189" s="28">
        <f t="shared" si="58"/>
        <v>0</v>
      </c>
      <c r="W189" s="16">
        <f t="shared" si="66"/>
        <v>0</v>
      </c>
      <c r="Y189" s="1"/>
    </row>
    <row r="190" spans="7:25" x14ac:dyDescent="0.25">
      <c r="G190">
        <v>180</v>
      </c>
      <c r="H190" s="21">
        <v>49310</v>
      </c>
      <c r="I190" s="16">
        <f t="shared" si="60"/>
        <v>0</v>
      </c>
      <c r="J190" s="16">
        <f t="shared" si="49"/>
        <v>0</v>
      </c>
      <c r="K190" s="16">
        <f t="shared" si="64"/>
        <v>0</v>
      </c>
      <c r="L190" s="16">
        <f t="shared" si="51"/>
        <v>0</v>
      </c>
      <c r="M190" s="26">
        <f t="shared" si="61"/>
        <v>0</v>
      </c>
      <c r="N190" s="26">
        <f t="shared" si="52"/>
        <v>0</v>
      </c>
      <c r="O190" s="16">
        <f t="shared" si="65"/>
        <v>0</v>
      </c>
      <c r="P190" s="16">
        <f t="shared" si="62"/>
        <v>0</v>
      </c>
      <c r="Q190" s="26">
        <f t="shared" si="63"/>
        <v>0</v>
      </c>
      <c r="R190" s="26">
        <f t="shared" si="54"/>
        <v>0</v>
      </c>
      <c r="S190" s="16">
        <f t="shared" si="55"/>
        <v>0</v>
      </c>
      <c r="T190" s="16">
        <f t="shared" si="56"/>
        <v>0</v>
      </c>
      <c r="U190" s="28">
        <f t="shared" si="57"/>
        <v>0</v>
      </c>
      <c r="V190" s="28">
        <f t="shared" si="58"/>
        <v>0</v>
      </c>
      <c r="W190" s="16">
        <f t="shared" si="66"/>
        <v>0</v>
      </c>
      <c r="Y190" s="1"/>
    </row>
  </sheetData>
  <mergeCells count="33">
    <mergeCell ref="W6:W7"/>
    <mergeCell ref="A25:C25"/>
    <mergeCell ref="A27:C27"/>
    <mergeCell ref="A11:C11"/>
    <mergeCell ref="A12:C12"/>
    <mergeCell ref="A13:C13"/>
    <mergeCell ref="A14:C14"/>
    <mergeCell ref="A15:C15"/>
    <mergeCell ref="G6:G7"/>
    <mergeCell ref="I6:J6"/>
    <mergeCell ref="K6:K7"/>
    <mergeCell ref="Q6:Q7"/>
    <mergeCell ref="N6:N7"/>
    <mergeCell ref="A22:C22"/>
    <mergeCell ref="T6:T7"/>
    <mergeCell ref="V6:V7"/>
    <mergeCell ref="U6:U7"/>
    <mergeCell ref="A18:C18"/>
    <mergeCell ref="A24:C24"/>
    <mergeCell ref="R6:R7"/>
    <mergeCell ref="P6:P7"/>
    <mergeCell ref="S6:S7"/>
    <mergeCell ref="A17:C17"/>
    <mergeCell ref="A30:C30"/>
    <mergeCell ref="A28:C28"/>
    <mergeCell ref="L6:L7"/>
    <mergeCell ref="M6:M7"/>
    <mergeCell ref="O6:O7"/>
    <mergeCell ref="A21:C21"/>
    <mergeCell ref="A19:C19"/>
    <mergeCell ref="A20:C20"/>
    <mergeCell ref="A23:C23"/>
    <mergeCell ref="A16:C16"/>
  </mergeCells>
  <pageMargins left="0.7" right="0.7" top="0.75" bottom="0.75" header="0.3" footer="0.3"/>
  <ignoredErrors>
    <ignoredError sqref="D16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3:Y189"/>
  <sheetViews>
    <sheetView topLeftCell="N64" zoomScale="80" zoomScaleNormal="80" workbookViewId="0">
      <selection activeCell="O18" sqref="O18:Q20"/>
    </sheetView>
  </sheetViews>
  <sheetFormatPr defaultRowHeight="15" x14ac:dyDescent="0.25"/>
  <cols>
    <col min="1" max="1" width="9.140625" customWidth="1"/>
    <col min="4" max="4" width="13.85546875" bestFit="1" customWidth="1"/>
    <col min="8" max="8" width="10.140625" bestFit="1" customWidth="1"/>
    <col min="9" max="9" width="14.5703125" bestFit="1" customWidth="1"/>
    <col min="10" max="10" width="17" customWidth="1"/>
    <col min="11" max="12" width="16.28515625" customWidth="1"/>
    <col min="13" max="13" width="16.28515625" style="24" customWidth="1"/>
    <col min="14" max="14" width="14.42578125" style="24" customWidth="1"/>
    <col min="15" max="15" width="23.140625" customWidth="1"/>
    <col min="16" max="16" width="13" customWidth="1"/>
    <col min="17" max="18" width="18.85546875" style="24" customWidth="1"/>
    <col min="19" max="20" width="18.85546875" customWidth="1"/>
    <col min="21" max="22" width="18.85546875" style="24" customWidth="1"/>
    <col min="23" max="23" width="21.5703125" customWidth="1"/>
    <col min="24" max="24" width="11.28515625" bestFit="1" customWidth="1"/>
    <col min="25" max="25" width="14.7109375" customWidth="1"/>
  </cols>
  <sheetData>
    <row r="3" spans="1:25" x14ac:dyDescent="0.25">
      <c r="G3" t="s">
        <v>46</v>
      </c>
      <c r="M3" s="35" t="e">
        <f>XIRR(M9:M189,H9:H189)</f>
        <v>#NUM!</v>
      </c>
      <c r="N3" s="35" t="e">
        <f>XIRR(N9:N189,H9:H189)</f>
        <v>#NUM!</v>
      </c>
      <c r="O3" s="19"/>
      <c r="P3" s="19"/>
      <c r="Q3" s="35" t="e">
        <f>XIRR(Q9:Q189,H9:H189)</f>
        <v>#NUM!</v>
      </c>
      <c r="R3" s="35" t="e">
        <f>XIRR(R9:R189,H9:H189)</f>
        <v>#NUM!</v>
      </c>
      <c r="S3" s="25"/>
      <c r="T3" s="25"/>
      <c r="U3" s="35" t="e">
        <f>XIRR(U9:U189,H9:H189)</f>
        <v>#NUM!</v>
      </c>
      <c r="V3" s="35" t="e">
        <f>XIRR(V9:V189,H9:H189)</f>
        <v>#NUM!</v>
      </c>
    </row>
    <row r="4" spans="1:25" x14ac:dyDescent="0.25">
      <c r="I4" s="16">
        <f>SUM(I7:I189)</f>
        <v>3491666.6666666716</v>
      </c>
      <c r="J4" s="16">
        <f>SUM(J7:J189)</f>
        <v>698333.33333333198</v>
      </c>
      <c r="K4" s="16">
        <f>SUM(K7:K189)</f>
        <v>10415956789.583336</v>
      </c>
      <c r="L4" s="16">
        <f>SUM(L7:L189)</f>
        <v>2083191357.9166675</v>
      </c>
      <c r="M4" s="26">
        <f>SUM(M7:M189)-M9-M8</f>
        <v>12503339147.500002</v>
      </c>
      <c r="N4" s="26">
        <f>SUM(N7:N189)-N9-N8</f>
        <v>12503348068.708338</v>
      </c>
      <c r="O4" s="16"/>
      <c r="P4" s="16">
        <f>SUM(P7:P189)-P8</f>
        <v>2083889857.9166675</v>
      </c>
      <c r="Q4" s="26">
        <f>SUM(Q7:Q189)-Q9-Q8</f>
        <v>10419239789.583336</v>
      </c>
      <c r="R4" s="26">
        <f>SUM(R7:R189)-R9-R8</f>
        <v>10419248710.791666</v>
      </c>
      <c r="S4" s="16">
        <f>SUM(S7:S189)-S8</f>
        <v>2083847957.9166675</v>
      </c>
      <c r="T4" s="16">
        <f>SUM(T7:T189)-T8</f>
        <v>2083849742.1583333</v>
      </c>
      <c r="U4" s="26">
        <f>SUM(U7:U189)-U9-U8</f>
        <v>8334553831.6666698</v>
      </c>
      <c r="V4" s="26">
        <f>SUM(V7:V189)-V9-V8</f>
        <v>8334560968.6333332</v>
      </c>
      <c r="W4" s="16">
        <f>SUM(W7:W189)-W8</f>
        <v>8921.2083333333358</v>
      </c>
    </row>
    <row r="5" spans="1:25" ht="28.5" customHeight="1" x14ac:dyDescent="0.25">
      <c r="G5" s="172" t="s">
        <v>13</v>
      </c>
      <c r="H5" s="20"/>
      <c r="I5" s="167" t="s">
        <v>15</v>
      </c>
      <c r="J5" s="167"/>
      <c r="K5" s="167" t="s">
        <v>23</v>
      </c>
      <c r="L5" s="167" t="s">
        <v>26</v>
      </c>
      <c r="M5" s="168" t="s">
        <v>16</v>
      </c>
      <c r="N5" s="168" t="s">
        <v>133</v>
      </c>
      <c r="O5" s="167" t="s">
        <v>17</v>
      </c>
      <c r="P5" s="167" t="s">
        <v>4</v>
      </c>
      <c r="Q5" s="168" t="s">
        <v>50</v>
      </c>
      <c r="R5" s="168" t="s">
        <v>139</v>
      </c>
      <c r="S5" s="167" t="s">
        <v>51</v>
      </c>
      <c r="T5" s="167" t="s">
        <v>138</v>
      </c>
      <c r="U5" s="168" t="s">
        <v>52</v>
      </c>
      <c r="V5" s="168" t="s">
        <v>140</v>
      </c>
      <c r="W5" s="170" t="s">
        <v>130</v>
      </c>
      <c r="Y5" s="3"/>
    </row>
    <row r="6" spans="1:25" x14ac:dyDescent="0.25">
      <c r="G6" s="172"/>
      <c r="H6" s="20"/>
      <c r="I6" s="6" t="s">
        <v>14</v>
      </c>
      <c r="J6" s="6" t="s">
        <v>3</v>
      </c>
      <c r="K6" s="167"/>
      <c r="L6" s="167"/>
      <c r="M6" s="168"/>
      <c r="N6" s="168"/>
      <c r="O6" s="167"/>
      <c r="P6" s="167"/>
      <c r="Q6" s="168"/>
      <c r="R6" s="168"/>
      <c r="S6" s="167"/>
      <c r="T6" s="167"/>
      <c r="U6" s="168"/>
      <c r="V6" s="168"/>
      <c r="W6" s="170"/>
      <c r="Y6" s="3"/>
    </row>
    <row r="7" spans="1:25" ht="15.75" customHeight="1" x14ac:dyDescent="0.25">
      <c r="G7" t="s">
        <v>9</v>
      </c>
      <c r="I7" s="16">
        <f>D18-J7</f>
        <v>1047500</v>
      </c>
      <c r="J7" s="16">
        <f>D18*$D$20/(1+$D$20)</f>
        <v>209500</v>
      </c>
      <c r="K7" s="16"/>
      <c r="L7" s="16"/>
      <c r="M7" s="26">
        <f>SUM(I7:J7)</f>
        <v>1257000</v>
      </c>
      <c r="N7" s="26">
        <f>M7</f>
        <v>1257000</v>
      </c>
      <c r="O7" s="16">
        <f>D10-J7-I7</f>
        <v>2933000</v>
      </c>
      <c r="P7" s="16">
        <f>IF($D$31="нет",0,J7)</f>
        <v>209500</v>
      </c>
      <c r="Q7" s="26">
        <f>M7-P7</f>
        <v>1047500</v>
      </c>
      <c r="R7" s="26">
        <f>Q7</f>
        <v>1047500</v>
      </c>
      <c r="S7" s="16">
        <f>IF($D$32="да",Q7*$D$21,0)</f>
        <v>209500</v>
      </c>
      <c r="T7" s="16">
        <f>IF($D$32="да",R7*$D$21,0)</f>
        <v>209500</v>
      </c>
      <c r="U7" s="26">
        <f>IF($D$32="да",Q7*$D$21,0)</f>
        <v>209500</v>
      </c>
      <c r="V7" s="26">
        <f>U7</f>
        <v>209500</v>
      </c>
      <c r="X7" s="12"/>
    </row>
    <row r="8" spans="1:25" ht="15.75" customHeight="1" x14ac:dyDescent="0.25">
      <c r="F8" s="22" t="s">
        <v>47</v>
      </c>
      <c r="G8" s="22" t="s">
        <v>25</v>
      </c>
      <c r="H8" s="22"/>
      <c r="I8" s="23"/>
      <c r="J8" s="23"/>
      <c r="K8" s="23"/>
      <c r="L8" s="23"/>
      <c r="M8" s="26">
        <f>D19</f>
        <v>1000</v>
      </c>
      <c r="N8" s="26"/>
      <c r="O8" s="23"/>
      <c r="P8" s="23"/>
      <c r="Q8" s="26"/>
      <c r="R8" s="26"/>
      <c r="S8" s="23"/>
      <c r="T8" s="23"/>
      <c r="U8" s="26"/>
      <c r="V8" s="26"/>
    </row>
    <row r="9" spans="1:25" ht="15.75" customHeight="1" x14ac:dyDescent="0.25">
      <c r="G9">
        <v>0</v>
      </c>
      <c r="H9" s="21">
        <v>43831</v>
      </c>
      <c r="I9" s="16"/>
      <c r="J9" s="16"/>
      <c r="K9" s="16"/>
      <c r="L9" s="16"/>
      <c r="M9" s="26">
        <f>-(D10-D18)</f>
        <v>-2933000</v>
      </c>
      <c r="N9" s="26">
        <f>M9</f>
        <v>-2933000</v>
      </c>
      <c r="O9" s="16"/>
      <c r="P9" s="16"/>
      <c r="Q9" s="26">
        <f>M9</f>
        <v>-2933000</v>
      </c>
      <c r="R9" s="26">
        <f>Q9</f>
        <v>-2933000</v>
      </c>
      <c r="S9" s="16"/>
      <c r="T9" s="16"/>
      <c r="U9" s="26">
        <f>Q9</f>
        <v>-2933000</v>
      </c>
      <c r="V9" s="26">
        <f>U9</f>
        <v>-2933000</v>
      </c>
    </row>
    <row r="10" spans="1:25" x14ac:dyDescent="0.25">
      <c r="A10" s="169" t="s">
        <v>0</v>
      </c>
      <c r="B10" s="169"/>
      <c r="C10" s="169"/>
      <c r="D10" s="4">
        <f>'Калькулятор лизинга'!K5</f>
        <v>4190000</v>
      </c>
      <c r="G10">
        <v>1</v>
      </c>
      <c r="H10" s="21">
        <v>43862</v>
      </c>
      <c r="I10" s="16">
        <f>IF(G10&lt;=$D$13,$O$7/$D$13/(1+$D$20),0)</f>
        <v>33946.759259259263</v>
      </c>
      <c r="J10" s="16">
        <f>IF(G10&lt;=$D$13,I10*$D$20,0)</f>
        <v>6789.3518518518531</v>
      </c>
      <c r="K10" s="16">
        <f>IF(G10&lt;=$D$13,O7*$D$16,0)</f>
        <v>285368679.16666669</v>
      </c>
      <c r="L10" s="16">
        <f>IF(G10&lt;=$D$13,K10*$D$20,0)</f>
        <v>57073735.833333343</v>
      </c>
      <c r="M10" s="26">
        <f t="shared" ref="M10:M73" si="0">IF(G10&lt;=$D$13,SUM(I10:L10),0)+IF(G10=$D$13,$D$19,0)</f>
        <v>342483151.11111116</v>
      </c>
      <c r="N10" s="26">
        <f>M10+W10</f>
        <v>342483395.52777785</v>
      </c>
      <c r="O10" s="16">
        <f>IF(G10&lt;=$D$13,O7-I10-J10,0)</f>
        <v>2892263.888888889</v>
      </c>
      <c r="P10" s="16">
        <f>IF($D$31="нет",0,J10+L10+IF(G10=$D$13,$D$19*$D$20/(1+$D$20),0))</f>
        <v>57080525.185185194</v>
      </c>
      <c r="Q10" s="26">
        <f>IF(G10&lt;=$D$13,M10-P10,0)-P7</f>
        <v>285193125.92592597</v>
      </c>
      <c r="R10" s="26">
        <f>Q10+W10</f>
        <v>285193370.34259266</v>
      </c>
      <c r="S10" s="16">
        <f>IF($D$32="да",Q10*$D$21,0)</f>
        <v>57038625.185185194</v>
      </c>
      <c r="T10" s="16">
        <f>IF($D$32="да",R10*$D$21,0)</f>
        <v>57038674.068518534</v>
      </c>
      <c r="U10" s="26">
        <f>Q10-S10-T7</f>
        <v>227945000.74074078</v>
      </c>
      <c r="V10" s="26">
        <f>R10-T10-T7</f>
        <v>227945196.27407414</v>
      </c>
      <c r="W10" s="16">
        <f>IF(G10&lt;=$D$13,$D$22*O7)</f>
        <v>244.41666666666666</v>
      </c>
    </row>
    <row r="11" spans="1:25" x14ac:dyDescent="0.25">
      <c r="A11" s="165" t="s">
        <v>3</v>
      </c>
      <c r="B11" s="165"/>
      <c r="C11" s="165"/>
      <c r="D11" s="2">
        <f>D10*D20/(1+D20)</f>
        <v>698333.33333333337</v>
      </c>
      <c r="G11">
        <v>2</v>
      </c>
      <c r="H11" s="21">
        <v>43891</v>
      </c>
      <c r="I11" s="16">
        <f t="shared" ref="I11:I41" si="1">IF(G11&lt;=$D$13,$O$7/$D$13/(1+$D$20),0)</f>
        <v>33946.759259259263</v>
      </c>
      <c r="J11" s="16">
        <f t="shared" ref="J11:J74" si="2">IF(G11&lt;=$D$13,I11*$D$20,0)</f>
        <v>6789.3518518518531</v>
      </c>
      <c r="K11" s="16">
        <f>IF(G11&lt;=$D$13,O10*$D$16,0)</f>
        <v>281405225.28935188</v>
      </c>
      <c r="L11" s="16">
        <f>IF(G11&lt;=$D$13,K11*$D$20,0)</f>
        <v>56281045.057870381</v>
      </c>
      <c r="M11" s="26">
        <f t="shared" si="0"/>
        <v>337727006.45833337</v>
      </c>
      <c r="N11" s="26">
        <f t="shared" ref="N11:N74" si="3">M11+W11</f>
        <v>337727247.48032409</v>
      </c>
      <c r="O11" s="16">
        <f>IF(G11&lt;=$D$13,O10-I11-J11,0)</f>
        <v>2851527.777777778</v>
      </c>
      <c r="P11" s="16">
        <f t="shared" ref="P11:P74" si="4">IF($D$31="нет",0,J11+L11+IF(G11=$D$13,$D$19*$D$20/(1+$D$20),0))</f>
        <v>56287834.409722231</v>
      </c>
      <c r="Q11" s="26">
        <f t="shared" ref="Q11:Q74" si="5">IF(G11&lt;=$D$13,M11-P11,0)</f>
        <v>281439172.04861116</v>
      </c>
      <c r="R11" s="26">
        <f t="shared" ref="R11:R74" si="6">Q11+W11</f>
        <v>281439413.07060188</v>
      </c>
      <c r="S11" s="16">
        <f t="shared" ref="S11:S74" si="7">IF($D$32="да",Q11*$D$21,0)</f>
        <v>56287834.409722239</v>
      </c>
      <c r="T11" s="16">
        <f t="shared" ref="T11:T74" si="8">IF($D$32="да",R11*$D$21,0)</f>
        <v>56287882.614120379</v>
      </c>
      <c r="U11" s="26">
        <f t="shared" ref="U11:U74" si="9">Q11-S11</f>
        <v>225151337.63888893</v>
      </c>
      <c r="V11" s="26">
        <f t="shared" ref="V11:V74" si="10">R11-T11</f>
        <v>225151530.45648152</v>
      </c>
      <c r="W11" s="16">
        <f>IF(G11&lt;=$D$13,$D$22*O10,0)</f>
        <v>241.02199074074073</v>
      </c>
    </row>
    <row r="12" spans="1:25" x14ac:dyDescent="0.25">
      <c r="A12" s="165" t="s">
        <v>6</v>
      </c>
      <c r="B12" s="165"/>
      <c r="C12" s="165"/>
      <c r="D12" s="2">
        <f>D10-D11</f>
        <v>3491666.6666666665</v>
      </c>
      <c r="G12">
        <v>3</v>
      </c>
      <c r="H12" s="21">
        <v>43922</v>
      </c>
      <c r="I12" s="16">
        <f t="shared" si="1"/>
        <v>33946.759259259263</v>
      </c>
      <c r="J12" s="16">
        <f t="shared" si="2"/>
        <v>6789.3518518518531</v>
      </c>
      <c r="K12" s="16">
        <f t="shared" ref="K12:K42" si="11">IF(G12&lt;=$D$13,O11*$D$16,0)</f>
        <v>277441771.41203707</v>
      </c>
      <c r="L12" s="16">
        <f t="shared" ref="L12:L74" si="12">IF(G12&lt;=$D$13,K12*$D$20,0)</f>
        <v>55488354.282407418</v>
      </c>
      <c r="M12" s="26">
        <f t="shared" si="0"/>
        <v>332970861.80555558</v>
      </c>
      <c r="N12" s="26">
        <f t="shared" si="3"/>
        <v>332971099.43287039</v>
      </c>
      <c r="O12" s="16">
        <f t="shared" ref="O12:O42" si="13">IF(G12&lt;=$D$13,O11-I12-J12,0)</f>
        <v>2810791.666666667</v>
      </c>
      <c r="P12" s="16">
        <f t="shared" si="4"/>
        <v>55495143.634259269</v>
      </c>
      <c r="Q12" s="26">
        <f t="shared" si="5"/>
        <v>277475718.1712963</v>
      </c>
      <c r="R12" s="26">
        <f t="shared" si="6"/>
        <v>277475955.7986111</v>
      </c>
      <c r="S12" s="16">
        <f t="shared" si="7"/>
        <v>55495143.634259261</v>
      </c>
      <c r="T12" s="16">
        <f t="shared" si="8"/>
        <v>55495191.159722224</v>
      </c>
      <c r="U12" s="26">
        <f t="shared" si="9"/>
        <v>221980574.53703704</v>
      </c>
      <c r="V12" s="26">
        <f t="shared" si="10"/>
        <v>221980764.6388889</v>
      </c>
      <c r="W12" s="16">
        <f t="shared" ref="W12:W75" si="14">IF(G12&lt;=$D$13,$D$22*O11,0)</f>
        <v>237.62731481481484</v>
      </c>
    </row>
    <row r="13" spans="1:25" x14ac:dyDescent="0.25">
      <c r="A13" s="169" t="s">
        <v>7</v>
      </c>
      <c r="B13" s="169"/>
      <c r="C13" s="169"/>
      <c r="D13" s="5">
        <f>'Калькулятор лизинга'!F16</f>
        <v>72</v>
      </c>
      <c r="G13">
        <v>4</v>
      </c>
      <c r="H13" s="21">
        <v>43952</v>
      </c>
      <c r="I13" s="16">
        <f t="shared" si="1"/>
        <v>33946.759259259263</v>
      </c>
      <c r="J13" s="16">
        <f t="shared" si="2"/>
        <v>6789.3518518518531</v>
      </c>
      <c r="K13" s="16">
        <f t="shared" si="11"/>
        <v>273478317.53472227</v>
      </c>
      <c r="L13" s="16">
        <f t="shared" si="12"/>
        <v>54695663.506944455</v>
      </c>
      <c r="M13" s="26">
        <f t="shared" si="0"/>
        <v>328214717.15277785</v>
      </c>
      <c r="N13" s="26">
        <f t="shared" si="3"/>
        <v>328214951.38541675</v>
      </c>
      <c r="O13" s="16">
        <f t="shared" si="13"/>
        <v>2770055.555555556</v>
      </c>
      <c r="P13" s="16">
        <f t="shared" si="4"/>
        <v>54702452.858796306</v>
      </c>
      <c r="Q13" s="26">
        <f t="shared" si="5"/>
        <v>273512264.29398155</v>
      </c>
      <c r="R13" s="26">
        <f t="shared" si="6"/>
        <v>273512498.52662045</v>
      </c>
      <c r="S13" s="16">
        <f t="shared" si="7"/>
        <v>54702452.858796313</v>
      </c>
      <c r="T13" s="16">
        <f t="shared" si="8"/>
        <v>54702499.705324091</v>
      </c>
      <c r="U13" s="26">
        <f t="shared" si="9"/>
        <v>218809811.43518525</v>
      </c>
      <c r="V13" s="26">
        <f t="shared" si="10"/>
        <v>218809998.82129636</v>
      </c>
      <c r="W13" s="16">
        <f t="shared" si="14"/>
        <v>234.23263888888891</v>
      </c>
    </row>
    <row r="14" spans="1:25" x14ac:dyDescent="0.25">
      <c r="A14" s="171" t="s">
        <v>8</v>
      </c>
      <c r="B14" s="171"/>
      <c r="C14" s="171"/>
      <c r="D14" s="29">
        <f>D13/12</f>
        <v>6</v>
      </c>
      <c r="G14">
        <v>5</v>
      </c>
      <c r="H14" s="21">
        <v>43983</v>
      </c>
      <c r="I14" s="16">
        <f t="shared" si="1"/>
        <v>33946.759259259263</v>
      </c>
      <c r="J14" s="16">
        <f t="shared" si="2"/>
        <v>6789.3518518518531</v>
      </c>
      <c r="K14" s="16">
        <f t="shared" si="11"/>
        <v>269514863.65740746</v>
      </c>
      <c r="L14" s="16">
        <f t="shared" si="12"/>
        <v>53902972.731481493</v>
      </c>
      <c r="M14" s="26">
        <f t="shared" si="0"/>
        <v>323458572.50000006</v>
      </c>
      <c r="N14" s="26">
        <f t="shared" si="3"/>
        <v>323458803.33796304</v>
      </c>
      <c r="O14" s="16">
        <f t="shared" si="13"/>
        <v>2729319.444444445</v>
      </c>
      <c r="P14" s="16">
        <f t="shared" si="4"/>
        <v>53909762.083333343</v>
      </c>
      <c r="Q14" s="26">
        <f t="shared" si="5"/>
        <v>269548810.41666675</v>
      </c>
      <c r="R14" s="26">
        <f t="shared" si="6"/>
        <v>269549041.25462973</v>
      </c>
      <c r="S14" s="16">
        <f t="shared" si="7"/>
        <v>53909762.083333351</v>
      </c>
      <c r="T14" s="16">
        <f t="shared" si="8"/>
        <v>53909808.250925951</v>
      </c>
      <c r="U14" s="26">
        <f t="shared" si="9"/>
        <v>215639048.3333334</v>
      </c>
      <c r="V14" s="26">
        <f t="shared" si="10"/>
        <v>215639233.00370377</v>
      </c>
      <c r="W14" s="16">
        <f t="shared" si="14"/>
        <v>230.83796296296299</v>
      </c>
    </row>
    <row r="15" spans="1:25" x14ac:dyDescent="0.25">
      <c r="A15" s="169" t="s">
        <v>12</v>
      </c>
      <c r="B15" s="169"/>
      <c r="C15" s="169"/>
      <c r="D15" s="11">
        <f>'Калькулятор лизинга'!F21/100</f>
        <v>1167.55</v>
      </c>
      <c r="G15">
        <v>6</v>
      </c>
      <c r="H15" s="21">
        <v>44013</v>
      </c>
      <c r="I15" s="16">
        <f t="shared" si="1"/>
        <v>33946.759259259263</v>
      </c>
      <c r="J15" s="16">
        <f t="shared" si="2"/>
        <v>6789.3518518518531</v>
      </c>
      <c r="K15" s="16">
        <f t="shared" si="11"/>
        <v>265551409.78009266</v>
      </c>
      <c r="L15" s="16">
        <f t="shared" si="12"/>
        <v>53110281.956018537</v>
      </c>
      <c r="M15" s="26">
        <f t="shared" si="0"/>
        <v>318702427.84722233</v>
      </c>
      <c r="N15" s="26">
        <f t="shared" si="3"/>
        <v>318702655.29050934</v>
      </c>
      <c r="O15" s="16">
        <f t="shared" si="13"/>
        <v>2688583.333333334</v>
      </c>
      <c r="P15" s="16">
        <f t="shared" si="4"/>
        <v>53117071.307870388</v>
      </c>
      <c r="Q15" s="26">
        <f t="shared" si="5"/>
        <v>265585356.53935194</v>
      </c>
      <c r="R15" s="26">
        <f t="shared" si="6"/>
        <v>265585583.98263898</v>
      </c>
      <c r="S15" s="16">
        <f t="shared" si="7"/>
        <v>53117071.307870388</v>
      </c>
      <c r="T15" s="16">
        <f t="shared" si="8"/>
        <v>53117116.796527803</v>
      </c>
      <c r="U15" s="26">
        <f t="shared" si="9"/>
        <v>212468285.23148155</v>
      </c>
      <c r="V15" s="26">
        <f t="shared" si="10"/>
        <v>212468467.18611118</v>
      </c>
      <c r="W15" s="16">
        <f t="shared" si="14"/>
        <v>227.44328703703707</v>
      </c>
    </row>
    <row r="16" spans="1:25" x14ac:dyDescent="0.25">
      <c r="A16" s="165" t="s">
        <v>11</v>
      </c>
      <c r="B16" s="165"/>
      <c r="C16" s="165"/>
      <c r="D16" s="10">
        <f>D15/12</f>
        <v>97.295833333333334</v>
      </c>
      <c r="G16">
        <v>7</v>
      </c>
      <c r="H16" s="21">
        <v>44044</v>
      </c>
      <c r="I16" s="16">
        <f t="shared" si="1"/>
        <v>33946.759259259263</v>
      </c>
      <c r="J16" s="16">
        <f t="shared" si="2"/>
        <v>6789.3518518518531</v>
      </c>
      <c r="K16" s="16">
        <f t="shared" si="11"/>
        <v>261587955.90277785</v>
      </c>
      <c r="L16" s="16">
        <f t="shared" si="12"/>
        <v>52317591.180555575</v>
      </c>
      <c r="M16" s="26">
        <f t="shared" si="0"/>
        <v>313946283.19444454</v>
      </c>
      <c r="N16" s="26">
        <f t="shared" si="3"/>
        <v>313946507.24305564</v>
      </c>
      <c r="O16" s="16">
        <f t="shared" si="13"/>
        <v>2647847.2222222229</v>
      </c>
      <c r="P16" s="16">
        <f t="shared" si="4"/>
        <v>52324380.532407425</v>
      </c>
      <c r="Q16" s="26">
        <f t="shared" si="5"/>
        <v>261621902.6620371</v>
      </c>
      <c r="R16" s="26">
        <f t="shared" si="6"/>
        <v>261622126.71064821</v>
      </c>
      <c r="S16" s="16">
        <f t="shared" si="7"/>
        <v>52324380.532407425</v>
      </c>
      <c r="T16" s="16">
        <f t="shared" si="8"/>
        <v>52324425.342129648</v>
      </c>
      <c r="U16" s="26">
        <f t="shared" si="9"/>
        <v>209297522.12962967</v>
      </c>
      <c r="V16" s="26">
        <f t="shared" si="10"/>
        <v>209297701.36851856</v>
      </c>
      <c r="W16" s="16">
        <f t="shared" si="14"/>
        <v>224.04861111111114</v>
      </c>
    </row>
    <row r="17" spans="1:23" x14ac:dyDescent="0.25">
      <c r="A17" s="169" t="s">
        <v>1</v>
      </c>
      <c r="B17" s="169"/>
      <c r="C17" s="169"/>
      <c r="D17" s="8">
        <f>IF('Калькулятор лизинга'!D24=Лист2!L2,'Калькулятор лизинга'!F24/100,Равномерное!D18/Равномерное!D10)</f>
        <v>0.3</v>
      </c>
      <c r="G17">
        <v>8</v>
      </c>
      <c r="H17" s="21">
        <v>44075</v>
      </c>
      <c r="I17" s="16">
        <f t="shared" si="1"/>
        <v>33946.759259259263</v>
      </c>
      <c r="J17" s="16">
        <f t="shared" si="2"/>
        <v>6789.3518518518531</v>
      </c>
      <c r="K17" s="16">
        <f t="shared" si="11"/>
        <v>257624502.02546304</v>
      </c>
      <c r="L17" s="16">
        <f t="shared" si="12"/>
        <v>51524900.405092612</v>
      </c>
      <c r="M17" s="26">
        <f t="shared" si="0"/>
        <v>309190138.54166675</v>
      </c>
      <c r="N17" s="26">
        <f t="shared" si="3"/>
        <v>309190359.19560194</v>
      </c>
      <c r="O17" s="16">
        <f t="shared" si="13"/>
        <v>2607111.1111111119</v>
      </c>
      <c r="P17" s="16">
        <f t="shared" si="4"/>
        <v>51531689.756944463</v>
      </c>
      <c r="Q17" s="26">
        <f t="shared" si="5"/>
        <v>257658448.78472227</v>
      </c>
      <c r="R17" s="26">
        <f t="shared" si="6"/>
        <v>257658669.43865746</v>
      </c>
      <c r="S17" s="16">
        <f t="shared" si="7"/>
        <v>51531689.756944455</v>
      </c>
      <c r="T17" s="16">
        <f t="shared" si="8"/>
        <v>51531733.887731493</v>
      </c>
      <c r="U17" s="26">
        <f t="shared" si="9"/>
        <v>206126759.02777782</v>
      </c>
      <c r="V17" s="26">
        <f t="shared" si="10"/>
        <v>206126935.55092597</v>
      </c>
      <c r="W17" s="16">
        <f t="shared" si="14"/>
        <v>220.65393518518525</v>
      </c>
    </row>
    <row r="18" spans="1:23" x14ac:dyDescent="0.25">
      <c r="A18" s="165" t="s">
        <v>9</v>
      </c>
      <c r="B18" s="165"/>
      <c r="C18" s="165"/>
      <c r="D18" s="3">
        <f>IF('Калькулятор лизинга'!D24=Лист2!L2,D10*D17,'Калькулятор лизинга'!F24)</f>
        <v>1257000</v>
      </c>
      <c r="G18">
        <v>9</v>
      </c>
      <c r="H18" s="21">
        <v>44105</v>
      </c>
      <c r="I18" s="16">
        <f t="shared" si="1"/>
        <v>33946.759259259263</v>
      </c>
      <c r="J18" s="16">
        <f t="shared" si="2"/>
        <v>6789.3518518518531</v>
      </c>
      <c r="K18" s="16">
        <f t="shared" si="11"/>
        <v>253661048.14814824</v>
      </c>
      <c r="L18" s="16">
        <f t="shared" si="12"/>
        <v>50732209.629629649</v>
      </c>
      <c r="M18" s="26">
        <f t="shared" si="0"/>
        <v>304433993.88888901</v>
      </c>
      <c r="N18" s="26">
        <f t="shared" si="3"/>
        <v>304434211.1481483</v>
      </c>
      <c r="O18" s="16">
        <f t="shared" si="13"/>
        <v>2566375.0000000009</v>
      </c>
      <c r="P18" s="16">
        <f t="shared" si="4"/>
        <v>50738998.9814815</v>
      </c>
      <c r="Q18" s="26">
        <f t="shared" si="5"/>
        <v>253694994.90740752</v>
      </c>
      <c r="R18" s="26">
        <f t="shared" si="6"/>
        <v>253695212.16666678</v>
      </c>
      <c r="S18" s="16">
        <f t="shared" si="7"/>
        <v>50738998.981481507</v>
      </c>
      <c r="T18" s="16">
        <f t="shared" si="8"/>
        <v>50739042.43333336</v>
      </c>
      <c r="U18" s="26">
        <f t="shared" si="9"/>
        <v>202955995.92592603</v>
      </c>
      <c r="V18" s="26">
        <f t="shared" si="10"/>
        <v>202956169.73333341</v>
      </c>
      <c r="W18" s="16">
        <f t="shared" si="14"/>
        <v>217.25925925925932</v>
      </c>
    </row>
    <row r="19" spans="1:23" x14ac:dyDescent="0.25">
      <c r="A19" s="169" t="s">
        <v>10</v>
      </c>
      <c r="B19" s="169"/>
      <c r="C19" s="169"/>
      <c r="D19" s="5">
        <f>'Калькулятор лизинга'!F27</f>
        <v>1000</v>
      </c>
      <c r="G19">
        <v>10</v>
      </c>
      <c r="H19" s="21">
        <v>44136</v>
      </c>
      <c r="I19" s="16">
        <f t="shared" si="1"/>
        <v>33946.759259259263</v>
      </c>
      <c r="J19" s="16">
        <f t="shared" si="2"/>
        <v>6789.3518518518531</v>
      </c>
      <c r="K19" s="16">
        <f t="shared" si="11"/>
        <v>249697594.27083343</v>
      </c>
      <c r="L19" s="16">
        <f t="shared" si="12"/>
        <v>49939518.854166687</v>
      </c>
      <c r="M19" s="26">
        <f t="shared" si="0"/>
        <v>299677849.23611122</v>
      </c>
      <c r="N19" s="26">
        <f t="shared" si="3"/>
        <v>299678063.10069454</v>
      </c>
      <c r="O19" s="16">
        <f t="shared" si="13"/>
        <v>2525638.8888888899</v>
      </c>
      <c r="P19" s="16">
        <f t="shared" si="4"/>
        <v>49946308.206018537</v>
      </c>
      <c r="Q19" s="26">
        <f t="shared" si="5"/>
        <v>249731541.03009269</v>
      </c>
      <c r="R19" s="26">
        <f t="shared" si="6"/>
        <v>249731754.89467603</v>
      </c>
      <c r="S19" s="16">
        <f t="shared" si="7"/>
        <v>49946308.206018537</v>
      </c>
      <c r="T19" s="16">
        <f t="shared" si="8"/>
        <v>49946350.978935212</v>
      </c>
      <c r="U19" s="26">
        <f t="shared" si="9"/>
        <v>199785232.82407415</v>
      </c>
      <c r="V19" s="26">
        <f t="shared" si="10"/>
        <v>199785403.91574082</v>
      </c>
      <c r="W19" s="16">
        <f t="shared" si="14"/>
        <v>213.8645833333334</v>
      </c>
    </row>
    <row r="20" spans="1:23" x14ac:dyDescent="0.25">
      <c r="A20" s="165" t="s">
        <v>18</v>
      </c>
      <c r="B20" s="165"/>
      <c r="C20" s="165"/>
      <c r="D20" s="7">
        <f>'Калькулятор лизинга'!K11/100</f>
        <v>0.2</v>
      </c>
      <c r="G20">
        <v>11</v>
      </c>
      <c r="H20" s="21">
        <v>44166</v>
      </c>
      <c r="I20" s="16">
        <f t="shared" si="1"/>
        <v>33946.759259259263</v>
      </c>
      <c r="J20" s="16">
        <f t="shared" si="2"/>
        <v>6789.3518518518531</v>
      </c>
      <c r="K20" s="16">
        <f t="shared" si="11"/>
        <v>245734140.39351863</v>
      </c>
      <c r="L20" s="16">
        <f t="shared" si="12"/>
        <v>49146828.078703731</v>
      </c>
      <c r="M20" s="26">
        <f t="shared" si="0"/>
        <v>294921704.58333349</v>
      </c>
      <c r="N20" s="26">
        <f t="shared" si="3"/>
        <v>294921915.0532409</v>
      </c>
      <c r="O20" s="16">
        <f t="shared" si="13"/>
        <v>2484902.7777777789</v>
      </c>
      <c r="P20" s="16">
        <f t="shared" si="4"/>
        <v>49153617.430555582</v>
      </c>
      <c r="Q20" s="26">
        <f t="shared" si="5"/>
        <v>245768087.15277791</v>
      </c>
      <c r="R20" s="26">
        <f t="shared" si="6"/>
        <v>245768297.62268531</v>
      </c>
      <c r="S20" s="16">
        <f t="shared" si="7"/>
        <v>49153617.430555582</v>
      </c>
      <c r="T20" s="16">
        <f t="shared" si="8"/>
        <v>49153659.524537064</v>
      </c>
      <c r="U20" s="26">
        <f t="shared" si="9"/>
        <v>196614469.72222233</v>
      </c>
      <c r="V20" s="26">
        <f t="shared" si="10"/>
        <v>196614638.09814826</v>
      </c>
      <c r="W20" s="16">
        <f t="shared" si="14"/>
        <v>210.46990740740748</v>
      </c>
    </row>
    <row r="21" spans="1:23" x14ac:dyDescent="0.25">
      <c r="A21" s="165" t="s">
        <v>28</v>
      </c>
      <c r="B21" s="165"/>
      <c r="C21" s="165"/>
      <c r="D21" s="18">
        <f>'Калькулятор лизинга'!K9/100</f>
        <v>0.2</v>
      </c>
      <c r="G21">
        <v>12</v>
      </c>
      <c r="H21" s="21">
        <v>44197</v>
      </c>
      <c r="I21" s="16">
        <f t="shared" si="1"/>
        <v>33946.759259259263</v>
      </c>
      <c r="J21" s="16">
        <f t="shared" si="2"/>
        <v>6789.3518518518531</v>
      </c>
      <c r="K21" s="16">
        <f t="shared" si="11"/>
        <v>241770686.51620382</v>
      </c>
      <c r="L21" s="16">
        <f t="shared" si="12"/>
        <v>48354137.303240769</v>
      </c>
      <c r="M21" s="26">
        <f t="shared" si="0"/>
        <v>290165559.9305557</v>
      </c>
      <c r="N21" s="26">
        <f t="shared" si="3"/>
        <v>290165767.00578719</v>
      </c>
      <c r="O21" s="16">
        <f t="shared" si="13"/>
        <v>2444166.6666666679</v>
      </c>
      <c r="P21" s="16">
        <f t="shared" si="4"/>
        <v>48360926.655092619</v>
      </c>
      <c r="Q21" s="26">
        <f t="shared" si="5"/>
        <v>241804633.27546307</v>
      </c>
      <c r="R21" s="26">
        <f t="shared" si="6"/>
        <v>241804840.35069457</v>
      </c>
      <c r="S21" s="16">
        <f t="shared" si="7"/>
        <v>48360926.655092619</v>
      </c>
      <c r="T21" s="16">
        <f t="shared" si="8"/>
        <v>48360968.070138916</v>
      </c>
      <c r="U21" s="26">
        <f t="shared" si="9"/>
        <v>193443706.62037045</v>
      </c>
      <c r="V21" s="26">
        <f t="shared" si="10"/>
        <v>193443872.28055567</v>
      </c>
      <c r="W21" s="16">
        <f t="shared" si="14"/>
        <v>207.07523148148158</v>
      </c>
    </row>
    <row r="22" spans="1:23" x14ac:dyDescent="0.25">
      <c r="A22" s="165" t="s">
        <v>130</v>
      </c>
      <c r="B22" s="165"/>
      <c r="C22" s="165"/>
      <c r="D22" s="10">
        <f>'Калькулятор лизинга'!F30/100/12</f>
        <v>8.3333333333333331E-5</v>
      </c>
      <c r="G22">
        <v>13</v>
      </c>
      <c r="H22" s="21">
        <v>44228</v>
      </c>
      <c r="I22" s="16">
        <f t="shared" si="1"/>
        <v>33946.759259259263</v>
      </c>
      <c r="J22" s="16">
        <f t="shared" si="2"/>
        <v>6789.3518518518531</v>
      </c>
      <c r="K22" s="16">
        <f t="shared" si="11"/>
        <v>237807232.63888901</v>
      </c>
      <c r="L22" s="16">
        <f t="shared" si="12"/>
        <v>47561446.527777806</v>
      </c>
      <c r="M22" s="26">
        <f t="shared" si="0"/>
        <v>285409415.27777791</v>
      </c>
      <c r="N22" s="26">
        <f t="shared" si="3"/>
        <v>285409618.95833349</v>
      </c>
      <c r="O22" s="16">
        <f t="shared" si="13"/>
        <v>2403430.5555555569</v>
      </c>
      <c r="P22" s="16">
        <f t="shared" si="4"/>
        <v>47568235.879629657</v>
      </c>
      <c r="Q22" s="26">
        <f t="shared" si="5"/>
        <v>237841179.39814824</v>
      </c>
      <c r="R22" s="26">
        <f t="shared" si="6"/>
        <v>237841383.07870379</v>
      </c>
      <c r="S22" s="16">
        <f t="shared" si="7"/>
        <v>47568235.879629649</v>
      </c>
      <c r="T22" s="16">
        <f t="shared" si="8"/>
        <v>47568276.615740761</v>
      </c>
      <c r="U22" s="26">
        <f t="shared" si="9"/>
        <v>190272943.5185186</v>
      </c>
      <c r="V22" s="26">
        <f t="shared" si="10"/>
        <v>190273106.46296304</v>
      </c>
      <c r="W22" s="16">
        <f t="shared" si="14"/>
        <v>203.68055555555566</v>
      </c>
    </row>
    <row r="23" spans="1:23" x14ac:dyDescent="0.25">
      <c r="A23" s="170" t="s">
        <v>27</v>
      </c>
      <c r="B23" s="170"/>
      <c r="C23" s="170"/>
      <c r="D23" s="2">
        <f>M4</f>
        <v>12503339147.500002</v>
      </c>
      <c r="G23">
        <v>14</v>
      </c>
      <c r="H23" s="21">
        <v>44256</v>
      </c>
      <c r="I23" s="16">
        <f t="shared" si="1"/>
        <v>33946.759259259263</v>
      </c>
      <c r="J23" s="16">
        <f t="shared" si="2"/>
        <v>6789.3518518518531</v>
      </c>
      <c r="K23" s="16">
        <f t="shared" si="11"/>
        <v>233843778.76157421</v>
      </c>
      <c r="L23" s="16">
        <f t="shared" si="12"/>
        <v>46768755.752314843</v>
      </c>
      <c r="M23" s="26">
        <f t="shared" si="0"/>
        <v>280653270.62500018</v>
      </c>
      <c r="N23" s="26">
        <f t="shared" si="3"/>
        <v>280653470.91087979</v>
      </c>
      <c r="O23" s="16">
        <f t="shared" si="13"/>
        <v>2362694.4444444459</v>
      </c>
      <c r="P23" s="16">
        <f t="shared" si="4"/>
        <v>46775545.104166694</v>
      </c>
      <c r="Q23" s="26">
        <f t="shared" si="5"/>
        <v>233877725.52083349</v>
      </c>
      <c r="R23" s="26">
        <f t="shared" si="6"/>
        <v>233877925.80671313</v>
      </c>
      <c r="S23" s="16">
        <f t="shared" si="7"/>
        <v>46775545.104166701</v>
      </c>
      <c r="T23" s="16">
        <f t="shared" si="8"/>
        <v>46775585.161342628</v>
      </c>
      <c r="U23" s="26">
        <f t="shared" si="9"/>
        <v>187102180.41666681</v>
      </c>
      <c r="V23" s="26">
        <f t="shared" si="10"/>
        <v>187102340.64537051</v>
      </c>
      <c r="W23" s="16">
        <f t="shared" si="14"/>
        <v>200.28587962962973</v>
      </c>
    </row>
    <row r="24" spans="1:23" x14ac:dyDescent="0.25">
      <c r="A24" s="166" t="s">
        <v>21</v>
      </c>
      <c r="B24" s="166"/>
      <c r="C24" s="166"/>
      <c r="D24" s="14">
        <f>(M4-D10)/D10</f>
        <v>2983.0904886634848</v>
      </c>
      <c r="G24">
        <v>15</v>
      </c>
      <c r="H24" s="21">
        <v>44287</v>
      </c>
      <c r="I24" s="16">
        <f t="shared" si="1"/>
        <v>33946.759259259263</v>
      </c>
      <c r="J24" s="16">
        <f t="shared" si="2"/>
        <v>6789.3518518518531</v>
      </c>
      <c r="K24" s="16">
        <f t="shared" si="11"/>
        <v>229880324.8842594</v>
      </c>
      <c r="L24" s="16">
        <f t="shared" si="12"/>
        <v>45976064.976851881</v>
      </c>
      <c r="M24" s="26">
        <f t="shared" si="0"/>
        <v>275897125.97222239</v>
      </c>
      <c r="N24" s="26">
        <f t="shared" si="3"/>
        <v>275897322.86342609</v>
      </c>
      <c r="O24" s="16">
        <f t="shared" si="13"/>
        <v>2321958.3333333349</v>
      </c>
      <c r="P24" s="16">
        <f t="shared" si="4"/>
        <v>45982854.328703731</v>
      </c>
      <c r="Q24" s="26">
        <f t="shared" si="5"/>
        <v>229914271.64351866</v>
      </c>
      <c r="R24" s="26">
        <f t="shared" si="6"/>
        <v>229914468.53472236</v>
      </c>
      <c r="S24" s="16">
        <f t="shared" si="7"/>
        <v>45982854.328703731</v>
      </c>
      <c r="T24" s="16">
        <f t="shared" si="8"/>
        <v>45982893.706944473</v>
      </c>
      <c r="U24" s="26">
        <f t="shared" si="9"/>
        <v>183931417.31481493</v>
      </c>
      <c r="V24" s="26">
        <f t="shared" si="10"/>
        <v>183931574.82777789</v>
      </c>
      <c r="W24" s="16">
        <f t="shared" si="14"/>
        <v>196.89120370370381</v>
      </c>
    </row>
    <row r="25" spans="1:23" x14ac:dyDescent="0.25">
      <c r="A25" s="166" t="s">
        <v>22</v>
      </c>
      <c r="B25" s="166"/>
      <c r="C25" s="166"/>
      <c r="D25" s="14">
        <f>D24/D14</f>
        <v>497.18174811058083</v>
      </c>
      <c r="G25">
        <v>16</v>
      </c>
      <c r="H25" s="21">
        <v>44317</v>
      </c>
      <c r="I25" s="16">
        <f t="shared" si="1"/>
        <v>33946.759259259263</v>
      </c>
      <c r="J25" s="16">
        <f t="shared" si="2"/>
        <v>6789.3518518518531</v>
      </c>
      <c r="K25" s="16">
        <f t="shared" si="11"/>
        <v>225916871.0069446</v>
      </c>
      <c r="L25" s="16">
        <f t="shared" si="12"/>
        <v>45183374.201388925</v>
      </c>
      <c r="M25" s="26">
        <f t="shared" si="0"/>
        <v>271140981.31944466</v>
      </c>
      <c r="N25" s="26">
        <f t="shared" si="3"/>
        <v>271141174.81597245</v>
      </c>
      <c r="O25" s="16">
        <f t="shared" si="13"/>
        <v>2281222.2222222239</v>
      </c>
      <c r="P25" s="16">
        <f t="shared" si="4"/>
        <v>45190163.553240776</v>
      </c>
      <c r="Q25" s="26">
        <f t="shared" si="5"/>
        <v>225950817.76620388</v>
      </c>
      <c r="R25" s="26">
        <f t="shared" si="6"/>
        <v>225951011.26273167</v>
      </c>
      <c r="S25" s="16">
        <f t="shared" si="7"/>
        <v>45190163.553240776</v>
      </c>
      <c r="T25" s="16">
        <f t="shared" si="8"/>
        <v>45190202.25254634</v>
      </c>
      <c r="U25" s="26">
        <f t="shared" si="9"/>
        <v>180760654.2129631</v>
      </c>
      <c r="V25" s="26">
        <f t="shared" si="10"/>
        <v>180760809.01018533</v>
      </c>
      <c r="W25" s="16">
        <f t="shared" si="14"/>
        <v>193.49652777777791</v>
      </c>
    </row>
    <row r="26" spans="1:23" x14ac:dyDescent="0.25">
      <c r="D26" s="9">
        <f>D25*1.65/(1-D17)</f>
        <v>1171.9284062606548</v>
      </c>
      <c r="G26">
        <v>17</v>
      </c>
      <c r="H26" s="21">
        <v>44348</v>
      </c>
      <c r="I26" s="16">
        <f t="shared" si="1"/>
        <v>33946.759259259263</v>
      </c>
      <c r="J26" s="16">
        <f t="shared" si="2"/>
        <v>6789.3518518518531</v>
      </c>
      <c r="K26" s="16">
        <f t="shared" si="11"/>
        <v>221953417.12962979</v>
      </c>
      <c r="L26" s="16">
        <f t="shared" si="12"/>
        <v>44390683.425925963</v>
      </c>
      <c r="M26" s="26">
        <f t="shared" si="0"/>
        <v>266384836.66666687</v>
      </c>
      <c r="N26" s="26">
        <f t="shared" si="3"/>
        <v>266385026.76851872</v>
      </c>
      <c r="O26" s="16">
        <f t="shared" si="13"/>
        <v>2240486.1111111129</v>
      </c>
      <c r="P26" s="16">
        <f t="shared" si="4"/>
        <v>44397472.777777813</v>
      </c>
      <c r="Q26" s="26">
        <f t="shared" si="5"/>
        <v>221987363.88888904</v>
      </c>
      <c r="R26" s="26">
        <f t="shared" si="6"/>
        <v>221987553.9907409</v>
      </c>
      <c r="S26" s="16">
        <f t="shared" si="7"/>
        <v>44397472.777777813</v>
      </c>
      <c r="T26" s="16">
        <f t="shared" si="8"/>
        <v>44397510.798148185</v>
      </c>
      <c r="U26" s="26">
        <f t="shared" si="9"/>
        <v>177589891.11111122</v>
      </c>
      <c r="V26" s="26">
        <f t="shared" si="10"/>
        <v>177590043.19259271</v>
      </c>
      <c r="W26" s="16">
        <f t="shared" si="14"/>
        <v>190.10185185185199</v>
      </c>
    </row>
    <row r="27" spans="1:23" x14ac:dyDescent="0.25">
      <c r="A27" s="165" t="s">
        <v>43</v>
      </c>
      <c r="B27" s="165"/>
      <c r="C27" s="165"/>
      <c r="D27" s="2">
        <f>N4-P4-T4</f>
        <v>8335608468.633337</v>
      </c>
      <c r="G27">
        <v>18</v>
      </c>
      <c r="H27" s="21">
        <v>44378</v>
      </c>
      <c r="I27" s="16">
        <f t="shared" si="1"/>
        <v>33946.759259259263</v>
      </c>
      <c r="J27" s="16">
        <f t="shared" si="2"/>
        <v>6789.3518518518531</v>
      </c>
      <c r="K27" s="16">
        <f t="shared" si="11"/>
        <v>217989963.25231498</v>
      </c>
      <c r="L27" s="16">
        <f t="shared" si="12"/>
        <v>43597992.650463</v>
      </c>
      <c r="M27" s="26">
        <f t="shared" si="0"/>
        <v>261628692.01388907</v>
      </c>
      <c r="N27" s="26">
        <f t="shared" si="3"/>
        <v>261628878.72106501</v>
      </c>
      <c r="O27" s="16">
        <f t="shared" si="13"/>
        <v>2199750.0000000019</v>
      </c>
      <c r="P27" s="16">
        <f t="shared" si="4"/>
        <v>43604782.002314851</v>
      </c>
      <c r="Q27" s="26">
        <f t="shared" si="5"/>
        <v>218023910.01157421</v>
      </c>
      <c r="R27" s="26">
        <f t="shared" si="6"/>
        <v>218024096.71875015</v>
      </c>
      <c r="S27" s="16">
        <f t="shared" si="7"/>
        <v>43604782.002314843</v>
      </c>
      <c r="T27" s="16">
        <f t="shared" si="8"/>
        <v>43604819.34375003</v>
      </c>
      <c r="U27" s="26">
        <f t="shared" si="9"/>
        <v>174419128.00925937</v>
      </c>
      <c r="V27" s="26">
        <f t="shared" si="10"/>
        <v>174419277.37500012</v>
      </c>
      <c r="W27" s="16">
        <f t="shared" si="14"/>
        <v>186.70717592592607</v>
      </c>
    </row>
    <row r="28" spans="1:23" x14ac:dyDescent="0.25">
      <c r="G28">
        <v>19</v>
      </c>
      <c r="H28" s="21">
        <v>44409</v>
      </c>
      <c r="I28" s="16">
        <f t="shared" si="1"/>
        <v>33946.759259259263</v>
      </c>
      <c r="J28" s="16">
        <f t="shared" si="2"/>
        <v>6789.3518518518531</v>
      </c>
      <c r="K28" s="16">
        <f t="shared" si="11"/>
        <v>214026509.37500018</v>
      </c>
      <c r="L28" s="16">
        <f t="shared" si="12"/>
        <v>42805301.875000037</v>
      </c>
      <c r="M28" s="26">
        <f t="shared" si="0"/>
        <v>256872547.36111131</v>
      </c>
      <c r="N28" s="26">
        <f t="shared" si="3"/>
        <v>256872730.67361131</v>
      </c>
      <c r="O28" s="16">
        <f t="shared" si="13"/>
        <v>2159013.8888888909</v>
      </c>
      <c r="P28" s="16">
        <f t="shared" si="4"/>
        <v>42812091.226851888</v>
      </c>
      <c r="Q28" s="26">
        <f t="shared" si="5"/>
        <v>214060456.13425943</v>
      </c>
      <c r="R28" s="26">
        <f t="shared" si="6"/>
        <v>214060639.44675943</v>
      </c>
      <c r="S28" s="16">
        <f t="shared" si="7"/>
        <v>42812091.226851888</v>
      </c>
      <c r="T28" s="16">
        <f t="shared" si="8"/>
        <v>42812127.889351889</v>
      </c>
      <c r="U28" s="26">
        <f t="shared" si="9"/>
        <v>171248364.90740755</v>
      </c>
      <c r="V28" s="26">
        <f t="shared" si="10"/>
        <v>171248511.55740756</v>
      </c>
      <c r="W28" s="16">
        <f t="shared" si="14"/>
        <v>183.31250000000014</v>
      </c>
    </row>
    <row r="29" spans="1:23" x14ac:dyDescent="0.25">
      <c r="G29">
        <v>20</v>
      </c>
      <c r="H29" s="21">
        <v>44440</v>
      </c>
      <c r="I29" s="16">
        <f t="shared" si="1"/>
        <v>33946.759259259263</v>
      </c>
      <c r="J29" s="16">
        <f t="shared" si="2"/>
        <v>6789.3518518518531</v>
      </c>
      <c r="K29" s="16">
        <f t="shared" si="11"/>
        <v>210063055.49768537</v>
      </c>
      <c r="L29" s="16">
        <f t="shared" si="12"/>
        <v>42012611.099537075</v>
      </c>
      <c r="M29" s="26">
        <f t="shared" si="0"/>
        <v>252116402.70833355</v>
      </c>
      <c r="N29" s="26">
        <f t="shared" si="3"/>
        <v>252116582.62615761</v>
      </c>
      <c r="O29" s="16">
        <f t="shared" si="13"/>
        <v>2118277.7777777798</v>
      </c>
      <c r="P29" s="16">
        <f t="shared" si="4"/>
        <v>42019400.451388925</v>
      </c>
      <c r="Q29" s="26">
        <f t="shared" si="5"/>
        <v>210097002.25694463</v>
      </c>
      <c r="R29" s="26">
        <f t="shared" si="6"/>
        <v>210097182.17476869</v>
      </c>
      <c r="S29" s="16">
        <f t="shared" si="7"/>
        <v>42019400.451388925</v>
      </c>
      <c r="T29" s="16">
        <f t="shared" si="8"/>
        <v>42019436.434953742</v>
      </c>
      <c r="U29" s="26">
        <f t="shared" si="9"/>
        <v>168077601.8055557</v>
      </c>
      <c r="V29" s="26">
        <f t="shared" si="10"/>
        <v>168077745.73981494</v>
      </c>
      <c r="W29" s="16">
        <f t="shared" si="14"/>
        <v>179.91782407407422</v>
      </c>
    </row>
    <row r="30" spans="1:23" x14ac:dyDescent="0.25">
      <c r="G30">
        <v>21</v>
      </c>
      <c r="H30" s="21">
        <v>44470</v>
      </c>
      <c r="I30" s="16">
        <f t="shared" si="1"/>
        <v>33946.759259259263</v>
      </c>
      <c r="J30" s="16">
        <f t="shared" si="2"/>
        <v>6789.3518518518531</v>
      </c>
      <c r="K30" s="16">
        <f t="shared" si="11"/>
        <v>206099601.62037057</v>
      </c>
      <c r="L30" s="16">
        <f t="shared" si="12"/>
        <v>41219920.324074119</v>
      </c>
      <c r="M30" s="26">
        <f t="shared" si="0"/>
        <v>247360258.05555579</v>
      </c>
      <c r="N30" s="26">
        <f t="shared" si="3"/>
        <v>247360434.57870394</v>
      </c>
      <c r="O30" s="16">
        <f t="shared" si="13"/>
        <v>2077541.6666666686</v>
      </c>
      <c r="P30" s="16">
        <f t="shared" si="4"/>
        <v>41226709.67592597</v>
      </c>
      <c r="Q30" s="26">
        <f t="shared" si="5"/>
        <v>206133548.37962982</v>
      </c>
      <c r="R30" s="26">
        <f t="shared" si="6"/>
        <v>206133724.90277797</v>
      </c>
      <c r="S30" s="16">
        <f t="shared" si="7"/>
        <v>41226709.67592597</v>
      </c>
      <c r="T30" s="16">
        <f t="shared" si="8"/>
        <v>41226744.980555594</v>
      </c>
      <c r="U30" s="26">
        <f t="shared" si="9"/>
        <v>164906838.70370385</v>
      </c>
      <c r="V30" s="26">
        <f t="shared" si="10"/>
        <v>164906979.92222238</v>
      </c>
      <c r="W30" s="16">
        <f t="shared" si="14"/>
        <v>176.52314814814832</v>
      </c>
    </row>
    <row r="31" spans="1:23" x14ac:dyDescent="0.25">
      <c r="A31" t="s">
        <v>115</v>
      </c>
      <c r="D31" t="str">
        <f>VLOOKUP('Калькулятор лизинга'!K7,Лист2!C2:E10,3,)</f>
        <v>да</v>
      </c>
      <c r="G31">
        <v>22</v>
      </c>
      <c r="H31" s="21">
        <v>44501</v>
      </c>
      <c r="I31" s="16">
        <f t="shared" si="1"/>
        <v>33946.759259259263</v>
      </c>
      <c r="J31" s="16">
        <f t="shared" si="2"/>
        <v>6789.3518518518531</v>
      </c>
      <c r="K31" s="16">
        <f t="shared" si="11"/>
        <v>202136147.74305576</v>
      </c>
      <c r="L31" s="16">
        <f t="shared" si="12"/>
        <v>40427229.548611157</v>
      </c>
      <c r="M31" s="26">
        <f t="shared" si="0"/>
        <v>242604113.40277803</v>
      </c>
      <c r="N31" s="26">
        <f t="shared" si="3"/>
        <v>242604286.53125024</v>
      </c>
      <c r="O31" s="16">
        <f t="shared" si="13"/>
        <v>2036805.5555555574</v>
      </c>
      <c r="P31" s="16">
        <f t="shared" si="4"/>
        <v>40434018.900463007</v>
      </c>
      <c r="Q31" s="26">
        <f t="shared" si="5"/>
        <v>202170094.50231501</v>
      </c>
      <c r="R31" s="26">
        <f t="shared" si="6"/>
        <v>202170267.63078722</v>
      </c>
      <c r="S31" s="16">
        <f t="shared" si="7"/>
        <v>40434018.900463007</v>
      </c>
      <c r="T31" s="16">
        <f t="shared" si="8"/>
        <v>40434053.526157446</v>
      </c>
      <c r="U31" s="26">
        <f t="shared" si="9"/>
        <v>161736075.601852</v>
      </c>
      <c r="V31" s="26">
        <f t="shared" si="10"/>
        <v>161736214.10462978</v>
      </c>
      <c r="W31" s="16">
        <f t="shared" si="14"/>
        <v>173.12847222222237</v>
      </c>
    </row>
    <row r="32" spans="1:23" x14ac:dyDescent="0.25">
      <c r="A32" t="s">
        <v>119</v>
      </c>
      <c r="D32" t="str">
        <f>VLOOKUP('Калькулятор лизинга'!K7,Лист2!C2:F10,4,)</f>
        <v>да</v>
      </c>
      <c r="G32">
        <v>23</v>
      </c>
      <c r="H32" s="21">
        <v>44531</v>
      </c>
      <c r="I32" s="16">
        <f t="shared" si="1"/>
        <v>33946.759259259263</v>
      </c>
      <c r="J32" s="16">
        <f t="shared" si="2"/>
        <v>6789.3518518518531</v>
      </c>
      <c r="K32" s="16">
        <f t="shared" si="11"/>
        <v>198172693.86574093</v>
      </c>
      <c r="L32" s="16">
        <f t="shared" si="12"/>
        <v>39634538.773148187</v>
      </c>
      <c r="M32" s="26">
        <f t="shared" si="0"/>
        <v>237847968.75000021</v>
      </c>
      <c r="N32" s="26">
        <f t="shared" si="3"/>
        <v>237848138.48379651</v>
      </c>
      <c r="O32" s="16">
        <f t="shared" si="13"/>
        <v>1996069.4444444461</v>
      </c>
      <c r="P32" s="16">
        <f t="shared" si="4"/>
        <v>39641328.125000037</v>
      </c>
      <c r="Q32" s="26">
        <f t="shared" si="5"/>
        <v>198206640.62500018</v>
      </c>
      <c r="R32" s="26">
        <f t="shared" si="6"/>
        <v>198206810.35879648</v>
      </c>
      <c r="S32" s="16">
        <f t="shared" si="7"/>
        <v>39641328.125000037</v>
      </c>
      <c r="T32" s="16">
        <f t="shared" si="8"/>
        <v>39641362.071759298</v>
      </c>
      <c r="U32" s="26">
        <f t="shared" si="9"/>
        <v>158565312.50000015</v>
      </c>
      <c r="V32" s="26">
        <f t="shared" si="10"/>
        <v>158565448.28703719</v>
      </c>
      <c r="W32" s="16">
        <f t="shared" si="14"/>
        <v>169.73379629629645</v>
      </c>
    </row>
    <row r="33" spans="7:23" x14ac:dyDescent="0.25">
      <c r="G33">
        <v>24</v>
      </c>
      <c r="H33" s="21">
        <v>44562</v>
      </c>
      <c r="I33" s="16">
        <f t="shared" si="1"/>
        <v>33946.759259259263</v>
      </c>
      <c r="J33" s="16">
        <f t="shared" si="2"/>
        <v>6789.3518518518531</v>
      </c>
      <c r="K33" s="16">
        <f t="shared" si="11"/>
        <v>194209239.98842609</v>
      </c>
      <c r="L33" s="16">
        <f t="shared" si="12"/>
        <v>38841847.997685216</v>
      </c>
      <c r="M33" s="26">
        <f t="shared" si="0"/>
        <v>233091824.09722242</v>
      </c>
      <c r="N33" s="26">
        <f t="shared" si="3"/>
        <v>233091990.43634278</v>
      </c>
      <c r="O33" s="16">
        <f t="shared" si="13"/>
        <v>1955333.3333333349</v>
      </c>
      <c r="P33" s="16">
        <f t="shared" si="4"/>
        <v>38848637.349537067</v>
      </c>
      <c r="Q33" s="26">
        <f t="shared" si="5"/>
        <v>194243186.74768534</v>
      </c>
      <c r="R33" s="26">
        <f t="shared" si="6"/>
        <v>194243353.0868057</v>
      </c>
      <c r="S33" s="16">
        <f t="shared" si="7"/>
        <v>38848637.349537067</v>
      </c>
      <c r="T33" s="16">
        <f t="shared" si="8"/>
        <v>38848670.617361143</v>
      </c>
      <c r="U33" s="26">
        <f t="shared" si="9"/>
        <v>155394549.39814827</v>
      </c>
      <c r="V33" s="26">
        <f t="shared" si="10"/>
        <v>155394682.46944457</v>
      </c>
      <c r="W33" s="16">
        <f t="shared" si="14"/>
        <v>166.33912037037049</v>
      </c>
    </row>
    <row r="34" spans="7:23" x14ac:dyDescent="0.25">
      <c r="G34">
        <v>25</v>
      </c>
      <c r="H34" s="21">
        <v>44593</v>
      </c>
      <c r="I34" s="16">
        <f t="shared" si="1"/>
        <v>33946.759259259263</v>
      </c>
      <c r="J34" s="16">
        <f t="shared" si="2"/>
        <v>6789.3518518518531</v>
      </c>
      <c r="K34" s="16">
        <f t="shared" si="11"/>
        <v>190245786.11111125</v>
      </c>
      <c r="L34" s="16">
        <f t="shared" si="12"/>
        <v>38049157.222222254</v>
      </c>
      <c r="M34" s="26">
        <f t="shared" si="0"/>
        <v>228335679.4444446</v>
      </c>
      <c r="N34" s="26">
        <f t="shared" si="3"/>
        <v>228335842.38888904</v>
      </c>
      <c r="O34" s="16">
        <f t="shared" si="13"/>
        <v>1914597.2222222236</v>
      </c>
      <c r="P34" s="16">
        <f t="shared" si="4"/>
        <v>38055946.574074104</v>
      </c>
      <c r="Q34" s="26">
        <f t="shared" si="5"/>
        <v>190279732.87037051</v>
      </c>
      <c r="R34" s="26">
        <f t="shared" si="6"/>
        <v>190279895.81481495</v>
      </c>
      <c r="S34" s="16">
        <f t="shared" si="7"/>
        <v>38055946.574074104</v>
      </c>
      <c r="T34" s="16">
        <f t="shared" si="8"/>
        <v>38055979.162962995</v>
      </c>
      <c r="U34" s="26">
        <f t="shared" si="9"/>
        <v>152223786.29629642</v>
      </c>
      <c r="V34" s="26">
        <f t="shared" si="10"/>
        <v>152223916.65185195</v>
      </c>
      <c r="W34" s="16">
        <f t="shared" si="14"/>
        <v>162.94444444444457</v>
      </c>
    </row>
    <row r="35" spans="7:23" x14ac:dyDescent="0.25">
      <c r="G35">
        <v>26</v>
      </c>
      <c r="H35" s="21">
        <v>44621</v>
      </c>
      <c r="I35" s="16">
        <f t="shared" si="1"/>
        <v>33946.759259259263</v>
      </c>
      <c r="J35" s="16">
        <f t="shared" si="2"/>
        <v>6789.3518518518531</v>
      </c>
      <c r="K35" s="16">
        <f t="shared" si="11"/>
        <v>186282332.23379645</v>
      </c>
      <c r="L35" s="16">
        <f t="shared" si="12"/>
        <v>37256466.446759291</v>
      </c>
      <c r="M35" s="26">
        <f t="shared" si="0"/>
        <v>223579534.79166684</v>
      </c>
      <c r="N35" s="26">
        <f t="shared" si="3"/>
        <v>223579694.34143534</v>
      </c>
      <c r="O35" s="16">
        <f t="shared" si="13"/>
        <v>1873861.1111111124</v>
      </c>
      <c r="P35" s="16">
        <f t="shared" si="4"/>
        <v>37263255.798611142</v>
      </c>
      <c r="Q35" s="26">
        <f t="shared" si="5"/>
        <v>186316278.9930557</v>
      </c>
      <c r="R35" s="26">
        <f t="shared" si="6"/>
        <v>186316438.54282421</v>
      </c>
      <c r="S35" s="16">
        <f t="shared" si="7"/>
        <v>37263255.798611142</v>
      </c>
      <c r="T35" s="16">
        <f t="shared" si="8"/>
        <v>37263287.70856484</v>
      </c>
      <c r="U35" s="26">
        <f t="shared" si="9"/>
        <v>149053023.19444457</v>
      </c>
      <c r="V35" s="26">
        <f t="shared" si="10"/>
        <v>149053150.83425936</v>
      </c>
      <c r="W35" s="16">
        <f t="shared" si="14"/>
        <v>159.54976851851862</v>
      </c>
    </row>
    <row r="36" spans="7:23" x14ac:dyDescent="0.25">
      <c r="G36">
        <v>27</v>
      </c>
      <c r="H36" s="21">
        <v>44652</v>
      </c>
      <c r="I36" s="16">
        <f t="shared" si="1"/>
        <v>33946.759259259263</v>
      </c>
      <c r="J36" s="16">
        <f t="shared" si="2"/>
        <v>6789.3518518518531</v>
      </c>
      <c r="K36" s="16">
        <f t="shared" si="11"/>
        <v>182318878.35648161</v>
      </c>
      <c r="L36" s="16">
        <f t="shared" si="12"/>
        <v>36463775.671296321</v>
      </c>
      <c r="M36" s="26">
        <f t="shared" si="0"/>
        <v>218823390.13888904</v>
      </c>
      <c r="N36" s="26">
        <f t="shared" si="3"/>
        <v>218823546.29398164</v>
      </c>
      <c r="O36" s="16">
        <f t="shared" si="13"/>
        <v>1833125.0000000012</v>
      </c>
      <c r="P36" s="16">
        <f t="shared" si="4"/>
        <v>36470565.023148172</v>
      </c>
      <c r="Q36" s="26">
        <f t="shared" si="5"/>
        <v>182352825.11574087</v>
      </c>
      <c r="R36" s="26">
        <f t="shared" si="6"/>
        <v>182352981.27083346</v>
      </c>
      <c r="S36" s="16">
        <f t="shared" si="7"/>
        <v>36470565.023148172</v>
      </c>
      <c r="T36" s="16">
        <f t="shared" si="8"/>
        <v>36470596.254166692</v>
      </c>
      <c r="U36" s="26">
        <f t="shared" si="9"/>
        <v>145882260.09259269</v>
      </c>
      <c r="V36" s="26">
        <f t="shared" si="10"/>
        <v>145882385.01666677</v>
      </c>
      <c r="W36" s="16">
        <f t="shared" si="14"/>
        <v>156.15509259259269</v>
      </c>
    </row>
    <row r="37" spans="7:23" x14ac:dyDescent="0.25">
      <c r="G37">
        <v>28</v>
      </c>
      <c r="H37" s="21">
        <v>44682</v>
      </c>
      <c r="I37" s="16">
        <f t="shared" si="1"/>
        <v>33946.759259259263</v>
      </c>
      <c r="J37" s="16">
        <f t="shared" si="2"/>
        <v>6789.3518518518531</v>
      </c>
      <c r="K37" s="16">
        <f t="shared" si="11"/>
        <v>178355424.47916678</v>
      </c>
      <c r="L37" s="16">
        <f t="shared" si="12"/>
        <v>35671084.895833358</v>
      </c>
      <c r="M37" s="26">
        <f t="shared" si="0"/>
        <v>214067245.48611122</v>
      </c>
      <c r="N37" s="26">
        <f t="shared" si="3"/>
        <v>214067398.24652788</v>
      </c>
      <c r="O37" s="16">
        <f t="shared" si="13"/>
        <v>1792388.8888888899</v>
      </c>
      <c r="P37" s="16">
        <f t="shared" si="4"/>
        <v>35677874.247685209</v>
      </c>
      <c r="Q37" s="26">
        <f t="shared" si="5"/>
        <v>178389371.23842603</v>
      </c>
      <c r="R37" s="26">
        <f t="shared" si="6"/>
        <v>178389523.99884269</v>
      </c>
      <c r="S37" s="16">
        <f t="shared" si="7"/>
        <v>35677874.247685209</v>
      </c>
      <c r="T37" s="16">
        <f t="shared" si="8"/>
        <v>35677904.799768537</v>
      </c>
      <c r="U37" s="26">
        <f t="shared" si="9"/>
        <v>142711496.99074084</v>
      </c>
      <c r="V37" s="26">
        <f t="shared" si="10"/>
        <v>142711619.19907415</v>
      </c>
      <c r="W37" s="16">
        <f t="shared" si="14"/>
        <v>152.76041666666677</v>
      </c>
    </row>
    <row r="38" spans="7:23" x14ac:dyDescent="0.25">
      <c r="G38">
        <v>29</v>
      </c>
      <c r="H38" s="21">
        <v>44713</v>
      </c>
      <c r="I38" s="16">
        <f t="shared" si="1"/>
        <v>33946.759259259263</v>
      </c>
      <c r="J38" s="16">
        <f t="shared" si="2"/>
        <v>6789.3518518518531</v>
      </c>
      <c r="K38" s="16">
        <f t="shared" si="11"/>
        <v>174391970.60185194</v>
      </c>
      <c r="L38" s="16">
        <f t="shared" si="12"/>
        <v>34878394.120370388</v>
      </c>
      <c r="M38" s="26">
        <f t="shared" si="0"/>
        <v>209311100.83333343</v>
      </c>
      <c r="N38" s="26">
        <f t="shared" si="3"/>
        <v>209311250.19907418</v>
      </c>
      <c r="O38" s="16">
        <f t="shared" si="13"/>
        <v>1751652.7777777787</v>
      </c>
      <c r="P38" s="16">
        <f t="shared" si="4"/>
        <v>34885183.472222239</v>
      </c>
      <c r="Q38" s="26">
        <f t="shared" si="5"/>
        <v>174425917.36111119</v>
      </c>
      <c r="R38" s="26">
        <f t="shared" si="6"/>
        <v>174426066.72685194</v>
      </c>
      <c r="S38" s="16">
        <f t="shared" si="7"/>
        <v>34885183.472222239</v>
      </c>
      <c r="T38" s="16">
        <f t="shared" si="8"/>
        <v>34885213.34537039</v>
      </c>
      <c r="U38" s="26">
        <f t="shared" si="9"/>
        <v>139540733.88888896</v>
      </c>
      <c r="V38" s="26">
        <f t="shared" si="10"/>
        <v>139540853.38148156</v>
      </c>
      <c r="W38" s="16">
        <f t="shared" si="14"/>
        <v>149.36574074074082</v>
      </c>
    </row>
    <row r="39" spans="7:23" x14ac:dyDescent="0.25">
      <c r="G39">
        <v>30</v>
      </c>
      <c r="H39" s="21">
        <v>44743</v>
      </c>
      <c r="I39" s="16">
        <f t="shared" si="1"/>
        <v>33946.759259259263</v>
      </c>
      <c r="J39" s="16">
        <f t="shared" si="2"/>
        <v>6789.3518518518531</v>
      </c>
      <c r="K39" s="16">
        <f t="shared" si="11"/>
        <v>170428516.72453713</v>
      </c>
      <c r="L39" s="16">
        <f t="shared" si="12"/>
        <v>34085703.344907425</v>
      </c>
      <c r="M39" s="26">
        <f t="shared" si="0"/>
        <v>204554956.18055567</v>
      </c>
      <c r="N39" s="26">
        <f t="shared" si="3"/>
        <v>204555102.15162048</v>
      </c>
      <c r="O39" s="16">
        <f t="shared" si="13"/>
        <v>1710916.6666666674</v>
      </c>
      <c r="P39" s="16">
        <f t="shared" si="4"/>
        <v>34092492.696759276</v>
      </c>
      <c r="Q39" s="26">
        <f t="shared" si="5"/>
        <v>170462463.48379639</v>
      </c>
      <c r="R39" s="26">
        <f t="shared" si="6"/>
        <v>170462609.45486119</v>
      </c>
      <c r="S39" s="16">
        <f t="shared" si="7"/>
        <v>34092492.696759276</v>
      </c>
      <c r="T39" s="16">
        <f t="shared" si="8"/>
        <v>34092521.890972242</v>
      </c>
      <c r="U39" s="26">
        <f t="shared" si="9"/>
        <v>136369970.7870371</v>
      </c>
      <c r="V39" s="26">
        <f t="shared" si="10"/>
        <v>136370087.56388897</v>
      </c>
      <c r="W39" s="16">
        <f t="shared" si="14"/>
        <v>145.97106481481489</v>
      </c>
    </row>
    <row r="40" spans="7:23" x14ac:dyDescent="0.25">
      <c r="G40">
        <v>31</v>
      </c>
      <c r="H40" s="21">
        <v>44774</v>
      </c>
      <c r="I40" s="16">
        <f t="shared" si="1"/>
        <v>33946.759259259263</v>
      </c>
      <c r="J40" s="16">
        <f t="shared" si="2"/>
        <v>6789.3518518518531</v>
      </c>
      <c r="K40" s="16">
        <f t="shared" si="11"/>
        <v>166465062.8472223</v>
      </c>
      <c r="L40" s="16">
        <f t="shared" si="12"/>
        <v>33293012.569444463</v>
      </c>
      <c r="M40" s="26">
        <f t="shared" si="0"/>
        <v>199798811.52777785</v>
      </c>
      <c r="N40" s="26">
        <f t="shared" si="3"/>
        <v>199798954.10416675</v>
      </c>
      <c r="O40" s="16">
        <f t="shared" si="13"/>
        <v>1670180.5555555562</v>
      </c>
      <c r="P40" s="16">
        <f t="shared" si="4"/>
        <v>33299801.921296313</v>
      </c>
      <c r="Q40" s="26">
        <f t="shared" si="5"/>
        <v>166499009.60648155</v>
      </c>
      <c r="R40" s="26">
        <f t="shared" si="6"/>
        <v>166499152.18287045</v>
      </c>
      <c r="S40" s="16">
        <f t="shared" si="7"/>
        <v>33299801.921296313</v>
      </c>
      <c r="T40" s="16">
        <f t="shared" si="8"/>
        <v>33299830.43657409</v>
      </c>
      <c r="U40" s="26">
        <f t="shared" si="9"/>
        <v>133199207.68518524</v>
      </c>
      <c r="V40" s="26">
        <f t="shared" si="10"/>
        <v>133199321.74629636</v>
      </c>
      <c r="W40" s="16">
        <f t="shared" si="14"/>
        <v>142.57638888888894</v>
      </c>
    </row>
    <row r="41" spans="7:23" x14ac:dyDescent="0.25">
      <c r="G41">
        <v>32</v>
      </c>
      <c r="H41" s="21">
        <v>44805</v>
      </c>
      <c r="I41" s="16">
        <f t="shared" si="1"/>
        <v>33946.759259259263</v>
      </c>
      <c r="J41" s="16">
        <f t="shared" si="2"/>
        <v>6789.3518518518531</v>
      </c>
      <c r="K41" s="16">
        <f t="shared" si="11"/>
        <v>162501608.96990746</v>
      </c>
      <c r="L41" s="16">
        <f t="shared" si="12"/>
        <v>32500321.793981493</v>
      </c>
      <c r="M41" s="26">
        <f t="shared" si="0"/>
        <v>195042666.87500006</v>
      </c>
      <c r="N41" s="26">
        <f t="shared" si="3"/>
        <v>195042806.05671301</v>
      </c>
      <c r="O41" s="16">
        <f t="shared" si="13"/>
        <v>1629444.444444445</v>
      </c>
      <c r="P41" s="16">
        <f t="shared" si="4"/>
        <v>32507111.145833343</v>
      </c>
      <c r="Q41" s="26">
        <f t="shared" si="5"/>
        <v>162535555.72916672</v>
      </c>
      <c r="R41" s="26">
        <f t="shared" si="6"/>
        <v>162535694.91087967</v>
      </c>
      <c r="S41" s="16">
        <f t="shared" si="7"/>
        <v>32507111.145833343</v>
      </c>
      <c r="T41" s="16">
        <f t="shared" si="8"/>
        <v>32507138.982175935</v>
      </c>
      <c r="U41" s="26">
        <f t="shared" si="9"/>
        <v>130028444.58333337</v>
      </c>
      <c r="V41" s="26">
        <f t="shared" si="10"/>
        <v>130028555.92870374</v>
      </c>
      <c r="W41" s="16">
        <f t="shared" si="14"/>
        <v>139.18171296296302</v>
      </c>
    </row>
    <row r="42" spans="7:23" x14ac:dyDescent="0.25">
      <c r="G42">
        <v>33</v>
      </c>
      <c r="H42" s="21">
        <v>44835</v>
      </c>
      <c r="I42" s="16">
        <f t="shared" ref="I42:I73" si="15">IF(G42&lt;=$D$13,$O$7/$D$13/(1+$D$20),0)</f>
        <v>33946.759259259263</v>
      </c>
      <c r="J42" s="16">
        <f t="shared" si="2"/>
        <v>6789.3518518518531</v>
      </c>
      <c r="K42" s="16">
        <f t="shared" si="11"/>
        <v>158538155.09259266</v>
      </c>
      <c r="L42" s="16">
        <f t="shared" si="12"/>
        <v>31707631.018518534</v>
      </c>
      <c r="M42" s="26">
        <f t="shared" si="0"/>
        <v>190286522.2222223</v>
      </c>
      <c r="N42" s="26">
        <f t="shared" si="3"/>
        <v>190286658.00925934</v>
      </c>
      <c r="O42" s="16">
        <f t="shared" si="13"/>
        <v>1588708.3333333337</v>
      </c>
      <c r="P42" s="16">
        <f t="shared" si="4"/>
        <v>31714420.370370384</v>
      </c>
      <c r="Q42" s="26">
        <f t="shared" si="5"/>
        <v>158572101.85185191</v>
      </c>
      <c r="R42" s="26">
        <f t="shared" si="6"/>
        <v>158572237.63888896</v>
      </c>
      <c r="S42" s="16">
        <f t="shared" si="7"/>
        <v>31714420.370370384</v>
      </c>
      <c r="T42" s="16">
        <f t="shared" si="8"/>
        <v>31714447.527777791</v>
      </c>
      <c r="U42" s="26">
        <f t="shared" si="9"/>
        <v>126857681.48148152</v>
      </c>
      <c r="V42" s="26">
        <f t="shared" si="10"/>
        <v>126857790.11111116</v>
      </c>
      <c r="W42" s="16">
        <f t="shared" si="14"/>
        <v>135.78703703703707</v>
      </c>
    </row>
    <row r="43" spans="7:23" x14ac:dyDescent="0.25">
      <c r="G43">
        <v>34</v>
      </c>
      <c r="H43" s="21">
        <v>44866</v>
      </c>
      <c r="I43" s="16">
        <f t="shared" si="15"/>
        <v>33946.759259259263</v>
      </c>
      <c r="J43" s="16">
        <f t="shared" si="2"/>
        <v>6789.3518518518531</v>
      </c>
      <c r="K43" s="16">
        <f t="shared" ref="K43:K74" si="16">IF(G43&lt;=$D$13,O42*$D$16,0)</f>
        <v>154574701.21527782</v>
      </c>
      <c r="L43" s="16">
        <f t="shared" si="12"/>
        <v>30914940.243055567</v>
      </c>
      <c r="M43" s="26">
        <f t="shared" si="0"/>
        <v>185530377.56944448</v>
      </c>
      <c r="N43" s="26">
        <f t="shared" si="3"/>
        <v>185530509.96180558</v>
      </c>
      <c r="O43" s="16">
        <f t="shared" ref="O43:O74" si="17">IF(G43&lt;=$D$13,O42-I43-J43,0)</f>
        <v>1547972.2222222225</v>
      </c>
      <c r="P43" s="16">
        <f t="shared" si="4"/>
        <v>30921729.594907418</v>
      </c>
      <c r="Q43" s="26">
        <f t="shared" si="5"/>
        <v>154608647.97453707</v>
      </c>
      <c r="R43" s="26">
        <f t="shared" si="6"/>
        <v>154608780.36689818</v>
      </c>
      <c r="S43" s="16">
        <f t="shared" si="7"/>
        <v>30921729.594907418</v>
      </c>
      <c r="T43" s="16">
        <f t="shared" si="8"/>
        <v>30921756.073379636</v>
      </c>
      <c r="U43" s="26">
        <f t="shared" si="9"/>
        <v>123686918.37962966</v>
      </c>
      <c r="V43" s="26">
        <f t="shared" si="10"/>
        <v>123687024.29351854</v>
      </c>
      <c r="W43" s="16">
        <f t="shared" si="14"/>
        <v>132.39236111111114</v>
      </c>
    </row>
    <row r="44" spans="7:23" x14ac:dyDescent="0.25">
      <c r="G44">
        <v>35</v>
      </c>
      <c r="H44" s="21">
        <v>44896</v>
      </c>
      <c r="I44" s="16">
        <f t="shared" si="15"/>
        <v>33946.759259259263</v>
      </c>
      <c r="J44" s="16">
        <f t="shared" si="2"/>
        <v>6789.3518518518531</v>
      </c>
      <c r="K44" s="16">
        <f t="shared" si="16"/>
        <v>150611247.33796299</v>
      </c>
      <c r="L44" s="16">
        <f t="shared" si="12"/>
        <v>30122249.467592597</v>
      </c>
      <c r="M44" s="26">
        <f t="shared" si="0"/>
        <v>180774232.91666669</v>
      </c>
      <c r="N44" s="26">
        <f t="shared" si="3"/>
        <v>180774361.91435188</v>
      </c>
      <c r="O44" s="16">
        <f t="shared" si="17"/>
        <v>1507236.1111111112</v>
      </c>
      <c r="P44" s="16">
        <f t="shared" si="4"/>
        <v>30129038.819444448</v>
      </c>
      <c r="Q44" s="26">
        <f t="shared" si="5"/>
        <v>150645194.09722224</v>
      </c>
      <c r="R44" s="26">
        <f t="shared" si="6"/>
        <v>150645323.09490743</v>
      </c>
      <c r="S44" s="16">
        <f t="shared" si="7"/>
        <v>30129038.819444448</v>
      </c>
      <c r="T44" s="16">
        <f t="shared" si="8"/>
        <v>30129064.618981488</v>
      </c>
      <c r="U44" s="26">
        <f t="shared" si="9"/>
        <v>120516155.27777779</v>
      </c>
      <c r="V44" s="26">
        <f t="shared" si="10"/>
        <v>120516258.47592595</v>
      </c>
      <c r="W44" s="16">
        <f t="shared" si="14"/>
        <v>128.99768518518519</v>
      </c>
    </row>
    <row r="45" spans="7:23" x14ac:dyDescent="0.25">
      <c r="G45">
        <v>36</v>
      </c>
      <c r="H45" s="21">
        <v>44927</v>
      </c>
      <c r="I45" s="16">
        <f t="shared" si="15"/>
        <v>33946.759259259263</v>
      </c>
      <c r="J45" s="16">
        <f t="shared" si="2"/>
        <v>6789.3518518518531</v>
      </c>
      <c r="K45" s="16">
        <f t="shared" si="16"/>
        <v>146647793.46064815</v>
      </c>
      <c r="L45" s="16">
        <f t="shared" si="12"/>
        <v>29329558.692129631</v>
      </c>
      <c r="M45" s="26">
        <f>IF(G45&lt;=$D$13,SUM(I45:L45),0)+IF(G45=$D$13,$D$19,0)</f>
        <v>176018088.2638889</v>
      </c>
      <c r="N45" s="26">
        <f t="shared" si="3"/>
        <v>176018213.86689815</v>
      </c>
      <c r="O45" s="16">
        <f t="shared" si="17"/>
        <v>1466500</v>
      </c>
      <c r="P45" s="16">
        <f t="shared" si="4"/>
        <v>29336348.043981481</v>
      </c>
      <c r="Q45" s="26">
        <f>IF(G45&lt;=$D$13,M45-P45,0)</f>
        <v>146681740.2199074</v>
      </c>
      <c r="R45" s="26">
        <f t="shared" si="6"/>
        <v>146681865.82291666</v>
      </c>
      <c r="S45" s="16">
        <f t="shared" si="7"/>
        <v>29336348.043981481</v>
      </c>
      <c r="T45" s="16">
        <f t="shared" si="8"/>
        <v>29336373.164583333</v>
      </c>
      <c r="U45" s="26">
        <f>Q45-S45</f>
        <v>117345392.17592593</v>
      </c>
      <c r="V45" s="26">
        <f t="shared" si="10"/>
        <v>117345492.65833333</v>
      </c>
      <c r="W45" s="16">
        <f t="shared" si="14"/>
        <v>125.60300925925927</v>
      </c>
    </row>
    <row r="46" spans="7:23" x14ac:dyDescent="0.25">
      <c r="G46">
        <v>37</v>
      </c>
      <c r="H46" s="21">
        <v>44958</v>
      </c>
      <c r="I46" s="16">
        <f t="shared" si="15"/>
        <v>33946.759259259263</v>
      </c>
      <c r="J46" s="16">
        <f t="shared" si="2"/>
        <v>6789.3518518518531</v>
      </c>
      <c r="K46" s="16">
        <f t="shared" si="16"/>
        <v>142684339.58333334</v>
      </c>
      <c r="L46" s="16">
        <f t="shared" si="12"/>
        <v>28536867.916666672</v>
      </c>
      <c r="M46" s="26">
        <f t="shared" si="0"/>
        <v>171261943.6111111</v>
      </c>
      <c r="N46" s="26">
        <f t="shared" si="3"/>
        <v>171262065.81944445</v>
      </c>
      <c r="O46" s="16">
        <f t="shared" si="17"/>
        <v>1425763.8888888888</v>
      </c>
      <c r="P46" s="16">
        <f t="shared" si="4"/>
        <v>28543657.268518522</v>
      </c>
      <c r="Q46" s="26">
        <f t="shared" si="5"/>
        <v>142718286.3425926</v>
      </c>
      <c r="R46" s="26">
        <f t="shared" si="6"/>
        <v>142718408.55092594</v>
      </c>
      <c r="S46" s="16">
        <f t="shared" si="7"/>
        <v>28543657.268518522</v>
      </c>
      <c r="T46" s="16">
        <f t="shared" si="8"/>
        <v>28543681.710185189</v>
      </c>
      <c r="U46" s="26">
        <f t="shared" si="9"/>
        <v>114174629.07407407</v>
      </c>
      <c r="V46" s="26">
        <f t="shared" si="10"/>
        <v>114174726.84074076</v>
      </c>
      <c r="W46" s="16">
        <f t="shared" si="14"/>
        <v>122.20833333333333</v>
      </c>
    </row>
    <row r="47" spans="7:23" x14ac:dyDescent="0.25">
      <c r="G47">
        <v>38</v>
      </c>
      <c r="H47" s="21">
        <v>44986</v>
      </c>
      <c r="I47" s="16">
        <f t="shared" si="15"/>
        <v>33946.759259259263</v>
      </c>
      <c r="J47" s="16">
        <f t="shared" si="2"/>
        <v>6789.3518518518531</v>
      </c>
      <c r="K47" s="16">
        <f t="shared" si="16"/>
        <v>138720885.70601851</v>
      </c>
      <c r="L47" s="16">
        <f t="shared" si="12"/>
        <v>27744177.141203701</v>
      </c>
      <c r="M47" s="26">
        <f t="shared" si="0"/>
        <v>166505798.95833331</v>
      </c>
      <c r="N47" s="26">
        <f t="shared" si="3"/>
        <v>166505917.77199072</v>
      </c>
      <c r="O47" s="16">
        <f t="shared" si="17"/>
        <v>1385027.7777777775</v>
      </c>
      <c r="P47" s="16">
        <f t="shared" si="4"/>
        <v>27750966.493055552</v>
      </c>
      <c r="Q47" s="26">
        <f t="shared" si="5"/>
        <v>138754832.46527776</v>
      </c>
      <c r="R47" s="26">
        <f t="shared" si="6"/>
        <v>138754951.27893516</v>
      </c>
      <c r="S47" s="16">
        <f t="shared" si="7"/>
        <v>27750966.493055552</v>
      </c>
      <c r="T47" s="16">
        <f t="shared" si="8"/>
        <v>27750990.255787034</v>
      </c>
      <c r="U47" s="26">
        <f t="shared" si="9"/>
        <v>111003865.97222221</v>
      </c>
      <c r="V47" s="26">
        <f t="shared" si="10"/>
        <v>111003961.02314813</v>
      </c>
      <c r="W47" s="16">
        <f t="shared" si="14"/>
        <v>118.81365740740739</v>
      </c>
    </row>
    <row r="48" spans="7:23" x14ac:dyDescent="0.25">
      <c r="G48">
        <v>39</v>
      </c>
      <c r="H48" s="21">
        <v>45017</v>
      </c>
      <c r="I48" s="16">
        <f t="shared" si="15"/>
        <v>33946.759259259263</v>
      </c>
      <c r="J48" s="16">
        <f t="shared" si="2"/>
        <v>6789.3518518518531</v>
      </c>
      <c r="K48" s="16">
        <f t="shared" si="16"/>
        <v>134757431.82870367</v>
      </c>
      <c r="L48" s="16">
        <f t="shared" si="12"/>
        <v>26951486.365740735</v>
      </c>
      <c r="M48" s="26">
        <f t="shared" si="0"/>
        <v>161749654.30555552</v>
      </c>
      <c r="N48" s="26">
        <f t="shared" si="3"/>
        <v>161749769.72453701</v>
      </c>
      <c r="O48" s="16">
        <f t="shared" si="17"/>
        <v>1344291.6666666663</v>
      </c>
      <c r="P48" s="16">
        <f t="shared" si="4"/>
        <v>26958275.717592586</v>
      </c>
      <c r="Q48" s="26">
        <f t="shared" si="5"/>
        <v>134791378.58796293</v>
      </c>
      <c r="R48" s="26">
        <f t="shared" si="6"/>
        <v>134791494.00694442</v>
      </c>
      <c r="S48" s="16">
        <f t="shared" si="7"/>
        <v>26958275.717592586</v>
      </c>
      <c r="T48" s="16">
        <f t="shared" si="8"/>
        <v>26958298.801388886</v>
      </c>
      <c r="U48" s="26">
        <f t="shared" si="9"/>
        <v>107833102.87037034</v>
      </c>
      <c r="V48" s="26">
        <f t="shared" si="10"/>
        <v>107833195.20555553</v>
      </c>
      <c r="W48" s="16">
        <f t="shared" si="14"/>
        <v>115.41898148148145</v>
      </c>
    </row>
    <row r="49" spans="7:23" x14ac:dyDescent="0.25">
      <c r="G49">
        <v>40</v>
      </c>
      <c r="H49" s="21">
        <v>45047</v>
      </c>
      <c r="I49" s="16">
        <f t="shared" si="15"/>
        <v>33946.759259259263</v>
      </c>
      <c r="J49" s="16">
        <f t="shared" si="2"/>
        <v>6789.3518518518531</v>
      </c>
      <c r="K49" s="16">
        <f t="shared" si="16"/>
        <v>130793977.95138885</v>
      </c>
      <c r="L49" s="16">
        <f t="shared" si="12"/>
        <v>26158795.590277772</v>
      </c>
      <c r="M49" s="26">
        <f t="shared" si="0"/>
        <v>156993509.65277773</v>
      </c>
      <c r="N49" s="26">
        <f t="shared" si="3"/>
        <v>156993621.67708328</v>
      </c>
      <c r="O49" s="16">
        <f t="shared" si="17"/>
        <v>1303555.555555555</v>
      </c>
      <c r="P49" s="16">
        <f t="shared" si="4"/>
        <v>26165584.942129623</v>
      </c>
      <c r="Q49" s="26">
        <f t="shared" si="5"/>
        <v>130827924.7106481</v>
      </c>
      <c r="R49" s="26">
        <f t="shared" si="6"/>
        <v>130828036.73495366</v>
      </c>
      <c r="S49" s="16">
        <f t="shared" si="7"/>
        <v>26165584.942129623</v>
      </c>
      <c r="T49" s="16">
        <f t="shared" si="8"/>
        <v>26165607.346990734</v>
      </c>
      <c r="U49" s="26">
        <f t="shared" si="9"/>
        <v>104662339.76851848</v>
      </c>
      <c r="V49" s="26">
        <f t="shared" si="10"/>
        <v>104662429.38796292</v>
      </c>
      <c r="W49" s="16">
        <f t="shared" si="14"/>
        <v>112.02430555555551</v>
      </c>
    </row>
    <row r="50" spans="7:23" x14ac:dyDescent="0.25">
      <c r="G50">
        <v>41</v>
      </c>
      <c r="H50" s="21">
        <v>45078</v>
      </c>
      <c r="I50" s="16">
        <f t="shared" si="15"/>
        <v>33946.759259259263</v>
      </c>
      <c r="J50" s="16">
        <f t="shared" si="2"/>
        <v>6789.3518518518531</v>
      </c>
      <c r="K50" s="16">
        <f t="shared" si="16"/>
        <v>126830524.07407403</v>
      </c>
      <c r="L50" s="16">
        <f t="shared" si="12"/>
        <v>25366104.814814806</v>
      </c>
      <c r="M50" s="26">
        <f t="shared" si="0"/>
        <v>152237364.99999994</v>
      </c>
      <c r="N50" s="26">
        <f t="shared" si="3"/>
        <v>152237473.62962958</v>
      </c>
      <c r="O50" s="16">
        <f t="shared" si="17"/>
        <v>1262819.4444444438</v>
      </c>
      <c r="P50" s="16">
        <f t="shared" si="4"/>
        <v>25372894.166666657</v>
      </c>
      <c r="Q50" s="26">
        <f t="shared" si="5"/>
        <v>126864470.83333328</v>
      </c>
      <c r="R50" s="26">
        <f t="shared" si="6"/>
        <v>126864579.46296291</v>
      </c>
      <c r="S50" s="16">
        <f t="shared" si="7"/>
        <v>25372894.166666657</v>
      </c>
      <c r="T50" s="16">
        <f t="shared" si="8"/>
        <v>25372915.892592583</v>
      </c>
      <c r="U50" s="26">
        <f t="shared" si="9"/>
        <v>101491576.66666663</v>
      </c>
      <c r="V50" s="26">
        <f t="shared" si="10"/>
        <v>101491663.57037033</v>
      </c>
      <c r="W50" s="16">
        <f t="shared" si="14"/>
        <v>108.62962962962958</v>
      </c>
    </row>
    <row r="51" spans="7:23" x14ac:dyDescent="0.25">
      <c r="G51">
        <v>42</v>
      </c>
      <c r="H51" s="21">
        <v>45108</v>
      </c>
      <c r="I51" s="16">
        <f t="shared" si="15"/>
        <v>33946.759259259263</v>
      </c>
      <c r="J51" s="16">
        <f t="shared" si="2"/>
        <v>6789.3518518518531</v>
      </c>
      <c r="K51" s="16">
        <f t="shared" si="16"/>
        <v>122867070.19675919</v>
      </c>
      <c r="L51" s="16">
        <f t="shared" si="12"/>
        <v>24573414.03935184</v>
      </c>
      <c r="M51" s="26">
        <f t="shared" si="0"/>
        <v>147481220.34722215</v>
      </c>
      <c r="N51" s="26">
        <f t="shared" si="3"/>
        <v>147481325.58217585</v>
      </c>
      <c r="O51" s="16">
        <f t="shared" si="17"/>
        <v>1222083.3333333326</v>
      </c>
      <c r="P51" s="16">
        <f t="shared" si="4"/>
        <v>24580203.39120369</v>
      </c>
      <c r="Q51" s="26">
        <f t="shared" si="5"/>
        <v>122901016.95601846</v>
      </c>
      <c r="R51" s="26">
        <f t="shared" si="6"/>
        <v>122901122.19097216</v>
      </c>
      <c r="S51" s="16">
        <f t="shared" si="7"/>
        <v>24580203.391203694</v>
      </c>
      <c r="T51" s="16">
        <f t="shared" si="8"/>
        <v>24580224.438194435</v>
      </c>
      <c r="U51" s="26">
        <f t="shared" si="9"/>
        <v>98320813.564814776</v>
      </c>
      <c r="V51" s="26">
        <f t="shared" si="10"/>
        <v>98320897.752777725</v>
      </c>
      <c r="W51" s="16">
        <f t="shared" si="14"/>
        <v>105.23495370370365</v>
      </c>
    </row>
    <row r="52" spans="7:23" x14ac:dyDescent="0.25">
      <c r="G52">
        <v>43</v>
      </c>
      <c r="H52" s="21">
        <v>45139</v>
      </c>
      <c r="I52" s="16">
        <f t="shared" si="15"/>
        <v>33946.759259259263</v>
      </c>
      <c r="J52" s="16">
        <f t="shared" si="2"/>
        <v>6789.3518518518531</v>
      </c>
      <c r="K52" s="16">
        <f t="shared" si="16"/>
        <v>118903616.31944437</v>
      </c>
      <c r="L52" s="16">
        <f t="shared" si="12"/>
        <v>23780723.263888877</v>
      </c>
      <c r="M52" s="26">
        <f t="shared" si="0"/>
        <v>142725075.69444436</v>
      </c>
      <c r="N52" s="26">
        <f t="shared" si="3"/>
        <v>142725177.53472215</v>
      </c>
      <c r="O52" s="16">
        <f t="shared" si="17"/>
        <v>1181347.2222222213</v>
      </c>
      <c r="P52" s="16">
        <f t="shared" si="4"/>
        <v>23787512.615740728</v>
      </c>
      <c r="Q52" s="26">
        <f t="shared" si="5"/>
        <v>118937563.07870363</v>
      </c>
      <c r="R52" s="26">
        <f t="shared" si="6"/>
        <v>118937664.9189814</v>
      </c>
      <c r="S52" s="16">
        <f t="shared" si="7"/>
        <v>23787512.615740728</v>
      </c>
      <c r="T52" s="16">
        <f t="shared" si="8"/>
        <v>23787532.983796284</v>
      </c>
      <c r="U52" s="26">
        <f t="shared" si="9"/>
        <v>95150050.462962896</v>
      </c>
      <c r="V52" s="26">
        <f t="shared" si="10"/>
        <v>95150131.93518512</v>
      </c>
      <c r="W52" s="16">
        <f t="shared" si="14"/>
        <v>101.84027777777771</v>
      </c>
    </row>
    <row r="53" spans="7:23" x14ac:dyDescent="0.25">
      <c r="G53">
        <v>44</v>
      </c>
      <c r="H53" s="21">
        <v>45170</v>
      </c>
      <c r="I53" s="16">
        <f t="shared" si="15"/>
        <v>33946.759259259263</v>
      </c>
      <c r="J53" s="16">
        <f t="shared" si="2"/>
        <v>6789.3518518518531</v>
      </c>
      <c r="K53" s="16">
        <f t="shared" si="16"/>
        <v>114940162.44212954</v>
      </c>
      <c r="L53" s="16">
        <f t="shared" si="12"/>
        <v>22988032.48842591</v>
      </c>
      <c r="M53" s="26">
        <f t="shared" si="0"/>
        <v>137968931.04166657</v>
      </c>
      <c r="N53" s="26">
        <f t="shared" si="3"/>
        <v>137969029.48726842</v>
      </c>
      <c r="O53" s="16">
        <f t="shared" si="17"/>
        <v>1140611.1111111101</v>
      </c>
      <c r="P53" s="16">
        <f t="shared" si="4"/>
        <v>22994821.840277761</v>
      </c>
      <c r="Q53" s="26">
        <f t="shared" si="5"/>
        <v>114974109.20138881</v>
      </c>
      <c r="R53" s="26">
        <f t="shared" si="6"/>
        <v>114974207.64699066</v>
      </c>
      <c r="S53" s="16">
        <f t="shared" si="7"/>
        <v>22994821.840277761</v>
      </c>
      <c r="T53" s="16">
        <f t="shared" si="8"/>
        <v>22994841.529398132</v>
      </c>
      <c r="U53" s="26">
        <f t="shared" si="9"/>
        <v>91979287.361111045</v>
      </c>
      <c r="V53" s="26">
        <f t="shared" si="10"/>
        <v>91979366.117592528</v>
      </c>
      <c r="W53" s="16">
        <f t="shared" si="14"/>
        <v>98.445601851851777</v>
      </c>
    </row>
    <row r="54" spans="7:23" x14ac:dyDescent="0.25">
      <c r="G54">
        <v>45</v>
      </c>
      <c r="H54" s="21">
        <v>45200</v>
      </c>
      <c r="I54" s="16">
        <f t="shared" si="15"/>
        <v>33946.759259259263</v>
      </c>
      <c r="J54" s="16">
        <f t="shared" si="2"/>
        <v>6789.3518518518531</v>
      </c>
      <c r="K54" s="16">
        <f t="shared" si="16"/>
        <v>110976708.56481472</v>
      </c>
      <c r="L54" s="16">
        <f t="shared" si="12"/>
        <v>22195341.712962944</v>
      </c>
      <c r="M54" s="26">
        <f t="shared" si="0"/>
        <v>133212786.38888876</v>
      </c>
      <c r="N54" s="26">
        <f t="shared" si="3"/>
        <v>133212881.43981469</v>
      </c>
      <c r="O54" s="16">
        <f t="shared" si="17"/>
        <v>1099874.9999999988</v>
      </c>
      <c r="P54" s="16">
        <f t="shared" si="4"/>
        <v>22202131.064814795</v>
      </c>
      <c r="Q54" s="26">
        <f t="shared" si="5"/>
        <v>111010655.32407397</v>
      </c>
      <c r="R54" s="26">
        <f t="shared" si="6"/>
        <v>111010750.3749999</v>
      </c>
      <c r="S54" s="16">
        <f t="shared" si="7"/>
        <v>22202131.064814795</v>
      </c>
      <c r="T54" s="16">
        <f t="shared" si="8"/>
        <v>22202150.074999981</v>
      </c>
      <c r="U54" s="26">
        <f t="shared" si="9"/>
        <v>88808524.259259179</v>
      </c>
      <c r="V54" s="26">
        <f t="shared" si="10"/>
        <v>88808600.299999923</v>
      </c>
      <c r="W54" s="16">
        <f t="shared" si="14"/>
        <v>95.050925925925839</v>
      </c>
    </row>
    <row r="55" spans="7:23" x14ac:dyDescent="0.25">
      <c r="G55">
        <v>46</v>
      </c>
      <c r="H55" s="21">
        <v>45231</v>
      </c>
      <c r="I55" s="16">
        <f t="shared" si="15"/>
        <v>33946.759259259263</v>
      </c>
      <c r="J55" s="16">
        <f t="shared" si="2"/>
        <v>6789.3518518518531</v>
      </c>
      <c r="K55" s="16">
        <f t="shared" si="16"/>
        <v>107013254.68749988</v>
      </c>
      <c r="L55" s="16">
        <f t="shared" si="12"/>
        <v>21402650.937499978</v>
      </c>
      <c r="M55" s="26">
        <f t="shared" si="0"/>
        <v>128456641.73611096</v>
      </c>
      <c r="N55" s="26">
        <f t="shared" si="3"/>
        <v>128456733.39236096</v>
      </c>
      <c r="O55" s="16">
        <f t="shared" si="17"/>
        <v>1059138.8888888876</v>
      </c>
      <c r="P55" s="16">
        <f t="shared" si="4"/>
        <v>21409440.289351828</v>
      </c>
      <c r="Q55" s="26">
        <f t="shared" si="5"/>
        <v>107047201.44675913</v>
      </c>
      <c r="R55" s="26">
        <f t="shared" si="6"/>
        <v>107047293.10300913</v>
      </c>
      <c r="S55" s="16">
        <f t="shared" si="7"/>
        <v>21409440.289351828</v>
      </c>
      <c r="T55" s="16">
        <f t="shared" si="8"/>
        <v>21409458.620601829</v>
      </c>
      <c r="U55" s="26">
        <f t="shared" si="9"/>
        <v>85637761.157407314</v>
      </c>
      <c r="V55" s="26">
        <f t="shared" si="10"/>
        <v>85637834.482407302</v>
      </c>
      <c r="W55" s="16">
        <f t="shared" si="14"/>
        <v>91.656249999999901</v>
      </c>
    </row>
    <row r="56" spans="7:23" x14ac:dyDescent="0.25">
      <c r="G56">
        <v>47</v>
      </c>
      <c r="H56" s="21">
        <v>45261</v>
      </c>
      <c r="I56" s="16">
        <f t="shared" si="15"/>
        <v>33946.759259259263</v>
      </c>
      <c r="J56" s="16">
        <f t="shared" si="2"/>
        <v>6789.3518518518531</v>
      </c>
      <c r="K56" s="16">
        <f t="shared" si="16"/>
        <v>103049800.81018506</v>
      </c>
      <c r="L56" s="16">
        <f t="shared" si="12"/>
        <v>20609960.162037015</v>
      </c>
      <c r="M56" s="26">
        <f t="shared" si="0"/>
        <v>123700497.08333318</v>
      </c>
      <c r="N56" s="26">
        <f t="shared" si="3"/>
        <v>123700585.34490725</v>
      </c>
      <c r="O56" s="16">
        <f t="shared" si="17"/>
        <v>1018402.7777777766</v>
      </c>
      <c r="P56" s="16">
        <f t="shared" si="4"/>
        <v>20616749.513888866</v>
      </c>
      <c r="Q56" s="26">
        <f t="shared" si="5"/>
        <v>103083747.56944431</v>
      </c>
      <c r="R56" s="26">
        <f t="shared" si="6"/>
        <v>103083835.83101839</v>
      </c>
      <c r="S56" s="16">
        <f t="shared" si="7"/>
        <v>20616749.513888866</v>
      </c>
      <c r="T56" s="16">
        <f t="shared" si="8"/>
        <v>20616767.166203678</v>
      </c>
      <c r="U56" s="26">
        <f t="shared" si="9"/>
        <v>82466998.055555448</v>
      </c>
      <c r="V56" s="26">
        <f t="shared" si="10"/>
        <v>82467068.664814711</v>
      </c>
      <c r="W56" s="16">
        <f t="shared" si="14"/>
        <v>88.261574074073962</v>
      </c>
    </row>
    <row r="57" spans="7:23" x14ac:dyDescent="0.25">
      <c r="G57">
        <v>48</v>
      </c>
      <c r="H57" s="21">
        <v>45292</v>
      </c>
      <c r="I57" s="16">
        <f t="shared" si="15"/>
        <v>33946.759259259263</v>
      </c>
      <c r="J57" s="16">
        <f t="shared" si="2"/>
        <v>6789.3518518518531</v>
      </c>
      <c r="K57" s="16">
        <f t="shared" si="16"/>
        <v>99086346.932870254</v>
      </c>
      <c r="L57" s="16">
        <f t="shared" si="12"/>
        <v>19817269.386574052</v>
      </c>
      <c r="M57" s="26">
        <f t="shared" si="0"/>
        <v>118944352.4305554</v>
      </c>
      <c r="N57" s="26">
        <f t="shared" si="3"/>
        <v>118944437.29745355</v>
      </c>
      <c r="O57" s="16">
        <f t="shared" si="17"/>
        <v>977666.66666666558</v>
      </c>
      <c r="P57" s="16">
        <f t="shared" si="4"/>
        <v>19824058.738425903</v>
      </c>
      <c r="Q57" s="26">
        <f t="shared" si="5"/>
        <v>99120293.692129493</v>
      </c>
      <c r="R57" s="26">
        <f t="shared" si="6"/>
        <v>99120378.559027642</v>
      </c>
      <c r="S57" s="16">
        <f t="shared" si="7"/>
        <v>19824058.738425899</v>
      </c>
      <c r="T57" s="16">
        <f t="shared" si="8"/>
        <v>19824075.71180553</v>
      </c>
      <c r="U57" s="26">
        <f t="shared" si="9"/>
        <v>79296234.953703597</v>
      </c>
      <c r="V57" s="26">
        <f t="shared" si="10"/>
        <v>79296302.84722212</v>
      </c>
      <c r="W57" s="16">
        <f t="shared" si="14"/>
        <v>84.866898148148053</v>
      </c>
    </row>
    <row r="58" spans="7:23" x14ac:dyDescent="0.25">
      <c r="G58">
        <v>49</v>
      </c>
      <c r="H58" s="21">
        <v>45323</v>
      </c>
      <c r="I58" s="16">
        <f t="shared" si="15"/>
        <v>33946.759259259263</v>
      </c>
      <c r="J58" s="16">
        <f t="shared" si="2"/>
        <v>6789.3518518518531</v>
      </c>
      <c r="K58" s="16">
        <f t="shared" si="16"/>
        <v>95122893.055555448</v>
      </c>
      <c r="L58" s="16">
        <f t="shared" si="12"/>
        <v>19024578.61111109</v>
      </c>
      <c r="M58" s="26">
        <f t="shared" si="0"/>
        <v>114188207.77777764</v>
      </c>
      <c r="N58" s="26">
        <f t="shared" si="3"/>
        <v>114188289.24999987</v>
      </c>
      <c r="O58" s="16">
        <f t="shared" si="17"/>
        <v>936930.55555555457</v>
      </c>
      <c r="P58" s="16">
        <f t="shared" si="4"/>
        <v>19031367.96296294</v>
      </c>
      <c r="Q58" s="26">
        <f t="shared" si="5"/>
        <v>95156839.814814702</v>
      </c>
      <c r="R58" s="26">
        <f t="shared" si="6"/>
        <v>95156921.287036926</v>
      </c>
      <c r="S58" s="16">
        <f t="shared" si="7"/>
        <v>19031367.96296294</v>
      </c>
      <c r="T58" s="16">
        <f t="shared" si="8"/>
        <v>19031384.257407386</v>
      </c>
      <c r="U58" s="26">
        <f t="shared" si="9"/>
        <v>76125471.851851761</v>
      </c>
      <c r="V58" s="26">
        <f t="shared" si="10"/>
        <v>76125537.029629543</v>
      </c>
      <c r="W58" s="16">
        <f t="shared" si="14"/>
        <v>81.472222222222129</v>
      </c>
    </row>
    <row r="59" spans="7:23" x14ac:dyDescent="0.25">
      <c r="G59">
        <v>50</v>
      </c>
      <c r="H59" s="21">
        <v>45352</v>
      </c>
      <c r="I59" s="16">
        <f t="shared" si="15"/>
        <v>33946.759259259263</v>
      </c>
      <c r="J59" s="16">
        <f t="shared" si="2"/>
        <v>6789.3518518518531</v>
      </c>
      <c r="K59" s="16">
        <f t="shared" si="16"/>
        <v>91159439.178240642</v>
      </c>
      <c r="L59" s="16">
        <f t="shared" si="12"/>
        <v>18231887.835648131</v>
      </c>
      <c r="M59" s="26">
        <f t="shared" si="0"/>
        <v>109432063.12499988</v>
      </c>
      <c r="N59" s="26">
        <f t="shared" si="3"/>
        <v>109432141.20254618</v>
      </c>
      <c r="O59" s="16">
        <f t="shared" si="17"/>
        <v>896194.44444444356</v>
      </c>
      <c r="P59" s="16">
        <f t="shared" si="4"/>
        <v>18238677.187499981</v>
      </c>
      <c r="Q59" s="26">
        <f t="shared" si="5"/>
        <v>91193385.937499896</v>
      </c>
      <c r="R59" s="26">
        <f t="shared" si="6"/>
        <v>91193464.015046194</v>
      </c>
      <c r="S59" s="16">
        <f t="shared" si="7"/>
        <v>18238677.187499981</v>
      </c>
      <c r="T59" s="16">
        <f t="shared" si="8"/>
        <v>18238692.803009238</v>
      </c>
      <c r="U59" s="26">
        <f t="shared" si="9"/>
        <v>72954708.749999911</v>
      </c>
      <c r="V59" s="26">
        <f t="shared" si="10"/>
        <v>72954771.212036952</v>
      </c>
      <c r="W59" s="16">
        <f t="shared" si="14"/>
        <v>78.077546296296205</v>
      </c>
    </row>
    <row r="60" spans="7:23" x14ac:dyDescent="0.25">
      <c r="G60">
        <v>51</v>
      </c>
      <c r="H60" s="21">
        <v>45383</v>
      </c>
      <c r="I60" s="16">
        <f t="shared" si="15"/>
        <v>33946.759259259263</v>
      </c>
      <c r="J60" s="16">
        <f t="shared" si="2"/>
        <v>6789.3518518518531</v>
      </c>
      <c r="K60" s="16">
        <f t="shared" si="16"/>
        <v>87195985.300925836</v>
      </c>
      <c r="L60" s="16">
        <f t="shared" si="12"/>
        <v>17439197.060185168</v>
      </c>
      <c r="M60" s="26">
        <f t="shared" si="0"/>
        <v>104675918.4722221</v>
      </c>
      <c r="N60" s="26">
        <f t="shared" si="3"/>
        <v>104675993.15509248</v>
      </c>
      <c r="O60" s="16">
        <f t="shared" si="17"/>
        <v>855458.33333333256</v>
      </c>
      <c r="P60" s="16">
        <f t="shared" si="4"/>
        <v>17445986.412037019</v>
      </c>
      <c r="Q60" s="26">
        <f t="shared" si="5"/>
        <v>87229932.06018509</v>
      </c>
      <c r="R60" s="26">
        <f t="shared" si="6"/>
        <v>87230006.743055463</v>
      </c>
      <c r="S60" s="16">
        <f t="shared" si="7"/>
        <v>17445986.412037019</v>
      </c>
      <c r="T60" s="16">
        <f t="shared" si="8"/>
        <v>17446001.348611094</v>
      </c>
      <c r="U60" s="26">
        <f t="shared" si="9"/>
        <v>69783945.648148075</v>
      </c>
      <c r="V60" s="26">
        <f t="shared" si="10"/>
        <v>69784005.394444376</v>
      </c>
      <c r="W60" s="16">
        <f t="shared" si="14"/>
        <v>74.682870370370296</v>
      </c>
    </row>
    <row r="61" spans="7:23" x14ac:dyDescent="0.25">
      <c r="G61">
        <v>52</v>
      </c>
      <c r="H61" s="21">
        <v>45413</v>
      </c>
      <c r="I61" s="16">
        <f t="shared" si="15"/>
        <v>33946.759259259263</v>
      </c>
      <c r="J61" s="16">
        <f t="shared" si="2"/>
        <v>6789.3518518518531</v>
      </c>
      <c r="K61" s="16">
        <f t="shared" si="16"/>
        <v>83232531.42361103</v>
      </c>
      <c r="L61" s="16">
        <f t="shared" si="12"/>
        <v>16646506.284722207</v>
      </c>
      <c r="M61" s="26">
        <f t="shared" si="0"/>
        <v>99919773.819444343</v>
      </c>
      <c r="N61" s="26">
        <f t="shared" si="3"/>
        <v>99919845.107638791</v>
      </c>
      <c r="O61" s="16">
        <f t="shared" si="17"/>
        <v>814722.22222222155</v>
      </c>
      <c r="P61" s="16">
        <f t="shared" si="4"/>
        <v>16653295.63657406</v>
      </c>
      <c r="Q61" s="26">
        <f t="shared" si="5"/>
        <v>83266478.182870284</v>
      </c>
      <c r="R61" s="26">
        <f t="shared" si="6"/>
        <v>83266549.471064731</v>
      </c>
      <c r="S61" s="16">
        <f t="shared" si="7"/>
        <v>16653295.636574058</v>
      </c>
      <c r="T61" s="16">
        <f t="shared" si="8"/>
        <v>16653309.894212946</v>
      </c>
      <c r="U61" s="26">
        <f t="shared" si="9"/>
        <v>66613182.546296224</v>
      </c>
      <c r="V61" s="26">
        <f t="shared" si="10"/>
        <v>66613239.576851785</v>
      </c>
      <c r="W61" s="16">
        <f t="shared" si="14"/>
        <v>71.288194444444372</v>
      </c>
    </row>
    <row r="62" spans="7:23" x14ac:dyDescent="0.25">
      <c r="G62">
        <v>53</v>
      </c>
      <c r="H62" s="21">
        <v>45444</v>
      </c>
      <c r="I62" s="16">
        <f t="shared" si="15"/>
        <v>33946.759259259263</v>
      </c>
      <c r="J62" s="16">
        <f t="shared" si="2"/>
        <v>6789.3518518518531</v>
      </c>
      <c r="K62" s="16">
        <f t="shared" si="16"/>
        <v>79269077.546296239</v>
      </c>
      <c r="L62" s="16">
        <f t="shared" si="12"/>
        <v>15853815.509259248</v>
      </c>
      <c r="M62" s="26">
        <f t="shared" si="0"/>
        <v>95163629.166666597</v>
      </c>
      <c r="N62" s="26">
        <f t="shared" si="3"/>
        <v>95163697.06018512</v>
      </c>
      <c r="O62" s="16">
        <f t="shared" si="17"/>
        <v>773986.11111111054</v>
      </c>
      <c r="P62" s="16">
        <f t="shared" si="4"/>
        <v>15860604.861111101</v>
      </c>
      <c r="Q62" s="26">
        <f t="shared" si="5"/>
        <v>79303024.305555493</v>
      </c>
      <c r="R62" s="26">
        <f t="shared" si="6"/>
        <v>79303092.199074015</v>
      </c>
      <c r="S62" s="16">
        <f t="shared" si="7"/>
        <v>15860604.861111099</v>
      </c>
      <c r="T62" s="16">
        <f t="shared" si="8"/>
        <v>15860618.439814804</v>
      </c>
      <c r="U62" s="26">
        <f t="shared" si="9"/>
        <v>63442419.444444396</v>
      </c>
      <c r="V62" s="26">
        <f t="shared" si="10"/>
        <v>63442473.759259209</v>
      </c>
      <c r="W62" s="16">
        <f t="shared" si="14"/>
        <v>67.893518518518462</v>
      </c>
    </row>
    <row r="63" spans="7:23" x14ac:dyDescent="0.25">
      <c r="G63">
        <v>54</v>
      </c>
      <c r="H63" s="21">
        <v>45474</v>
      </c>
      <c r="I63" s="16">
        <f t="shared" si="15"/>
        <v>33946.759259259263</v>
      </c>
      <c r="J63" s="16">
        <f t="shared" si="2"/>
        <v>6789.3518518518531</v>
      </c>
      <c r="K63" s="16">
        <f t="shared" si="16"/>
        <v>75305623.668981433</v>
      </c>
      <c r="L63" s="16">
        <f t="shared" si="12"/>
        <v>15061124.733796287</v>
      </c>
      <c r="M63" s="26">
        <f t="shared" si="0"/>
        <v>90407484.513888821</v>
      </c>
      <c r="N63" s="26">
        <f t="shared" si="3"/>
        <v>90407549.012731418</v>
      </c>
      <c r="O63" s="16">
        <f t="shared" si="17"/>
        <v>733249.99999999953</v>
      </c>
      <c r="P63" s="16">
        <f t="shared" si="4"/>
        <v>15067914.08564814</v>
      </c>
      <c r="Q63" s="26">
        <f t="shared" si="5"/>
        <v>75339570.428240687</v>
      </c>
      <c r="R63" s="26">
        <f t="shared" si="6"/>
        <v>75339634.927083284</v>
      </c>
      <c r="S63" s="16">
        <f t="shared" si="7"/>
        <v>15067914.085648138</v>
      </c>
      <c r="T63" s="16">
        <f t="shared" si="8"/>
        <v>15067926.985416658</v>
      </c>
      <c r="U63" s="26">
        <f t="shared" si="9"/>
        <v>60271656.342592552</v>
      </c>
      <c r="V63" s="26">
        <f t="shared" si="10"/>
        <v>60271707.941666625</v>
      </c>
      <c r="W63" s="16">
        <f t="shared" si="14"/>
        <v>64.498842592592538</v>
      </c>
    </row>
    <row r="64" spans="7:23" x14ac:dyDescent="0.25">
      <c r="G64">
        <v>55</v>
      </c>
      <c r="H64" s="21">
        <v>45505</v>
      </c>
      <c r="I64" s="16">
        <f t="shared" si="15"/>
        <v>33946.759259259263</v>
      </c>
      <c r="J64" s="16">
        <f t="shared" si="2"/>
        <v>6789.3518518518531</v>
      </c>
      <c r="K64" s="16">
        <f t="shared" si="16"/>
        <v>71342169.791666627</v>
      </c>
      <c r="L64" s="16">
        <f t="shared" si="12"/>
        <v>14268433.958333327</v>
      </c>
      <c r="M64" s="26">
        <f t="shared" si="0"/>
        <v>85651339.86111106</v>
      </c>
      <c r="N64" s="26">
        <f t="shared" si="3"/>
        <v>85651400.965277731</v>
      </c>
      <c r="O64" s="16">
        <f t="shared" si="17"/>
        <v>692513.88888888853</v>
      </c>
      <c r="P64" s="16">
        <f t="shared" si="4"/>
        <v>14275223.310185179</v>
      </c>
      <c r="Q64" s="26">
        <f t="shared" si="5"/>
        <v>71376116.550925881</v>
      </c>
      <c r="R64" s="26">
        <f t="shared" si="6"/>
        <v>71376177.655092552</v>
      </c>
      <c r="S64" s="16">
        <f t="shared" si="7"/>
        <v>14275223.310185177</v>
      </c>
      <c r="T64" s="16">
        <f t="shared" si="8"/>
        <v>14275235.53101851</v>
      </c>
      <c r="U64" s="26">
        <f t="shared" si="9"/>
        <v>57100893.240740702</v>
      </c>
      <c r="V64" s="26">
        <f t="shared" si="10"/>
        <v>57100942.124074042</v>
      </c>
      <c r="W64" s="16">
        <f t="shared" si="14"/>
        <v>61.104166666666629</v>
      </c>
    </row>
    <row r="65" spans="7:23" x14ac:dyDescent="0.25">
      <c r="G65">
        <v>56</v>
      </c>
      <c r="H65" s="21">
        <v>45536</v>
      </c>
      <c r="I65" s="16">
        <f t="shared" si="15"/>
        <v>33946.759259259263</v>
      </c>
      <c r="J65" s="16">
        <f t="shared" si="2"/>
        <v>6789.3518518518531</v>
      </c>
      <c r="K65" s="16">
        <f t="shared" si="16"/>
        <v>67378715.914351821</v>
      </c>
      <c r="L65" s="16">
        <f t="shared" si="12"/>
        <v>13475743.182870366</v>
      </c>
      <c r="M65" s="26">
        <f t="shared" si="0"/>
        <v>80895195.208333284</v>
      </c>
      <c r="N65" s="26">
        <f t="shared" si="3"/>
        <v>80895252.91782403</v>
      </c>
      <c r="O65" s="16">
        <f t="shared" si="17"/>
        <v>651777.77777777752</v>
      </c>
      <c r="P65" s="16">
        <f t="shared" si="4"/>
        <v>13482532.534722218</v>
      </c>
      <c r="Q65" s="26">
        <f t="shared" si="5"/>
        <v>67412662.67361106</v>
      </c>
      <c r="R65" s="26">
        <f t="shared" si="6"/>
        <v>67412720.383101806</v>
      </c>
      <c r="S65" s="16">
        <f t="shared" si="7"/>
        <v>13482532.534722213</v>
      </c>
      <c r="T65" s="16">
        <f t="shared" si="8"/>
        <v>13482544.076620363</v>
      </c>
      <c r="U65" s="26">
        <f t="shared" si="9"/>
        <v>53930130.138888851</v>
      </c>
      <c r="V65" s="26">
        <f t="shared" si="10"/>
        <v>53930176.306481443</v>
      </c>
      <c r="W65" s="16">
        <f t="shared" si="14"/>
        <v>57.709490740740712</v>
      </c>
    </row>
    <row r="66" spans="7:23" x14ac:dyDescent="0.25">
      <c r="G66">
        <v>57</v>
      </c>
      <c r="H66" s="21">
        <v>45566</v>
      </c>
      <c r="I66" s="16">
        <f t="shared" si="15"/>
        <v>33946.759259259263</v>
      </c>
      <c r="J66" s="16">
        <f t="shared" si="2"/>
        <v>6789.3518518518531</v>
      </c>
      <c r="K66" s="16">
        <f t="shared" si="16"/>
        <v>63415262.037037015</v>
      </c>
      <c r="L66" s="16">
        <f t="shared" si="12"/>
        <v>12683052.407407403</v>
      </c>
      <c r="M66" s="26">
        <f t="shared" si="0"/>
        <v>76139050.555555522</v>
      </c>
      <c r="N66" s="26">
        <f t="shared" si="3"/>
        <v>76139104.870370343</v>
      </c>
      <c r="O66" s="16">
        <f t="shared" si="17"/>
        <v>611041.66666666651</v>
      </c>
      <c r="P66" s="16">
        <f t="shared" si="4"/>
        <v>12689841.759259256</v>
      </c>
      <c r="Q66" s="26">
        <f t="shared" si="5"/>
        <v>63449208.796296269</v>
      </c>
      <c r="R66" s="26">
        <f t="shared" si="6"/>
        <v>63449263.111111082</v>
      </c>
      <c r="S66" s="16">
        <f t="shared" si="7"/>
        <v>12689841.759259254</v>
      </c>
      <c r="T66" s="16">
        <f t="shared" si="8"/>
        <v>12689852.622222217</v>
      </c>
      <c r="U66" s="26">
        <f t="shared" si="9"/>
        <v>50759367.037037015</v>
      </c>
      <c r="V66" s="26">
        <f t="shared" si="10"/>
        <v>50759410.488888867</v>
      </c>
      <c r="W66" s="16">
        <f t="shared" si="14"/>
        <v>54.314814814814788</v>
      </c>
    </row>
    <row r="67" spans="7:23" x14ac:dyDescent="0.25">
      <c r="G67">
        <v>58</v>
      </c>
      <c r="H67" s="21">
        <v>45597</v>
      </c>
      <c r="I67" s="16">
        <f t="shared" si="15"/>
        <v>33946.759259259263</v>
      </c>
      <c r="J67" s="16">
        <f t="shared" si="2"/>
        <v>6789.3518518518531</v>
      </c>
      <c r="K67" s="16">
        <f t="shared" si="16"/>
        <v>59451808.159722209</v>
      </c>
      <c r="L67" s="16">
        <f t="shared" si="12"/>
        <v>11890361.631944442</v>
      </c>
      <c r="M67" s="26">
        <f t="shared" si="0"/>
        <v>71382905.902777761</v>
      </c>
      <c r="N67" s="26">
        <f t="shared" si="3"/>
        <v>71382956.822916657</v>
      </c>
      <c r="O67" s="16">
        <f t="shared" si="17"/>
        <v>570305.5555555555</v>
      </c>
      <c r="P67" s="16">
        <f t="shared" si="4"/>
        <v>11897150.983796295</v>
      </c>
      <c r="Q67" s="26">
        <f t="shared" si="5"/>
        <v>59485754.918981463</v>
      </c>
      <c r="R67" s="26">
        <f t="shared" si="6"/>
        <v>59485805.839120351</v>
      </c>
      <c r="S67" s="16">
        <f t="shared" si="7"/>
        <v>11897150.983796293</v>
      </c>
      <c r="T67" s="16">
        <f t="shared" si="8"/>
        <v>11897161.167824071</v>
      </c>
      <c r="U67" s="26">
        <f t="shared" si="9"/>
        <v>47588603.935185172</v>
      </c>
      <c r="V67" s="26">
        <f t="shared" si="10"/>
        <v>47588644.671296284</v>
      </c>
      <c r="W67" s="16">
        <f t="shared" si="14"/>
        <v>50.920138888888872</v>
      </c>
    </row>
    <row r="68" spans="7:23" x14ac:dyDescent="0.25">
      <c r="G68">
        <v>59</v>
      </c>
      <c r="H68" s="21">
        <v>45627</v>
      </c>
      <c r="I68" s="16">
        <f t="shared" si="15"/>
        <v>33946.759259259263</v>
      </c>
      <c r="J68" s="16">
        <f t="shared" si="2"/>
        <v>6789.3518518518531</v>
      </c>
      <c r="K68" s="16">
        <f t="shared" si="16"/>
        <v>55488354.282407403</v>
      </c>
      <c r="L68" s="16">
        <f t="shared" si="12"/>
        <v>11097670.856481481</v>
      </c>
      <c r="M68" s="26">
        <f t="shared" si="0"/>
        <v>66626761.25</v>
      </c>
      <c r="N68" s="26">
        <f t="shared" si="3"/>
        <v>66626808.775462963</v>
      </c>
      <c r="O68" s="16">
        <f t="shared" si="17"/>
        <v>529569.4444444445</v>
      </c>
      <c r="P68" s="16">
        <f t="shared" si="4"/>
        <v>11104460.208333334</v>
      </c>
      <c r="Q68" s="26">
        <f t="shared" si="5"/>
        <v>55522301.041666664</v>
      </c>
      <c r="R68" s="26">
        <f t="shared" si="6"/>
        <v>55522348.567129627</v>
      </c>
      <c r="S68" s="16">
        <f t="shared" si="7"/>
        <v>11104460.208333334</v>
      </c>
      <c r="T68" s="16">
        <f t="shared" si="8"/>
        <v>11104469.713425927</v>
      </c>
      <c r="U68" s="26">
        <f t="shared" si="9"/>
        <v>44417840.833333328</v>
      </c>
      <c r="V68" s="26">
        <f t="shared" si="10"/>
        <v>44417878.8537037</v>
      </c>
      <c r="W68" s="16">
        <f t="shared" si="14"/>
        <v>47.525462962962955</v>
      </c>
    </row>
    <row r="69" spans="7:23" x14ac:dyDescent="0.25">
      <c r="G69">
        <v>60</v>
      </c>
      <c r="H69" s="21">
        <v>45658</v>
      </c>
      <c r="I69" s="16">
        <f t="shared" si="15"/>
        <v>33946.759259259263</v>
      </c>
      <c r="J69" s="16">
        <f t="shared" si="2"/>
        <v>6789.3518518518531</v>
      </c>
      <c r="K69" s="16">
        <f t="shared" si="16"/>
        <v>51524900.405092597</v>
      </c>
      <c r="L69" s="16">
        <f t="shared" si="12"/>
        <v>10304980.081018521</v>
      </c>
      <c r="M69" s="26">
        <f t="shared" si="0"/>
        <v>61870616.597222231</v>
      </c>
      <c r="N69" s="26">
        <f t="shared" si="3"/>
        <v>61870660.728009269</v>
      </c>
      <c r="O69" s="16">
        <f t="shared" si="17"/>
        <v>488833.33333333337</v>
      </c>
      <c r="P69" s="16">
        <f t="shared" si="4"/>
        <v>10311769.432870373</v>
      </c>
      <c r="Q69" s="26">
        <f t="shared" si="5"/>
        <v>51558847.164351858</v>
      </c>
      <c r="R69" s="26">
        <f t="shared" si="6"/>
        <v>51558891.295138896</v>
      </c>
      <c r="S69" s="16">
        <f t="shared" si="7"/>
        <v>10311769.432870373</v>
      </c>
      <c r="T69" s="16">
        <f t="shared" si="8"/>
        <v>10311778.259027779</v>
      </c>
      <c r="U69" s="26">
        <f t="shared" si="9"/>
        <v>41247077.731481485</v>
      </c>
      <c r="V69" s="26">
        <f t="shared" si="10"/>
        <v>41247113.036111116</v>
      </c>
      <c r="W69" s="16">
        <f t="shared" si="14"/>
        <v>44.130787037037038</v>
      </c>
    </row>
    <row r="70" spans="7:23" x14ac:dyDescent="0.25">
      <c r="G70">
        <v>61</v>
      </c>
      <c r="H70" s="21">
        <v>45689</v>
      </c>
      <c r="I70" s="16">
        <f t="shared" si="15"/>
        <v>33946.759259259263</v>
      </c>
      <c r="J70" s="16">
        <f t="shared" si="2"/>
        <v>6789.3518518518531</v>
      </c>
      <c r="K70" s="16">
        <f t="shared" si="16"/>
        <v>47561446.527777784</v>
      </c>
      <c r="L70" s="16">
        <f t="shared" si="12"/>
        <v>9512289.3055555578</v>
      </c>
      <c r="M70" s="26">
        <f t="shared" si="0"/>
        <v>57114471.944444455</v>
      </c>
      <c r="N70" s="26">
        <f t="shared" si="3"/>
        <v>57114512.680555567</v>
      </c>
      <c r="O70" s="16">
        <f t="shared" si="17"/>
        <v>448097.22222222225</v>
      </c>
      <c r="P70" s="16">
        <f t="shared" si="4"/>
        <v>9519078.6574074104</v>
      </c>
      <c r="Q70" s="26">
        <f t="shared" si="5"/>
        <v>47595393.287037045</v>
      </c>
      <c r="R70" s="26">
        <f t="shared" si="6"/>
        <v>47595434.023148157</v>
      </c>
      <c r="S70" s="16">
        <f t="shared" si="7"/>
        <v>9519078.6574074086</v>
      </c>
      <c r="T70" s="16">
        <f t="shared" si="8"/>
        <v>9519086.8046296313</v>
      </c>
      <c r="U70" s="26">
        <f t="shared" si="9"/>
        <v>38076314.629629634</v>
      </c>
      <c r="V70" s="26">
        <f t="shared" si="10"/>
        <v>38076347.218518525</v>
      </c>
      <c r="W70" s="16">
        <f t="shared" si="14"/>
        <v>40.736111111111114</v>
      </c>
    </row>
    <row r="71" spans="7:23" x14ac:dyDescent="0.25">
      <c r="G71">
        <v>62</v>
      </c>
      <c r="H71" s="21">
        <v>45717</v>
      </c>
      <c r="I71" s="16">
        <f t="shared" si="15"/>
        <v>33946.759259259263</v>
      </c>
      <c r="J71" s="16">
        <f t="shared" si="2"/>
        <v>6789.3518518518531</v>
      </c>
      <c r="K71" s="16">
        <f t="shared" si="16"/>
        <v>43597992.650462963</v>
      </c>
      <c r="L71" s="16">
        <f t="shared" si="12"/>
        <v>8719598.5300925933</v>
      </c>
      <c r="M71" s="26">
        <f t="shared" si="0"/>
        <v>52358327.291666672</v>
      </c>
      <c r="N71" s="26">
        <f t="shared" si="3"/>
        <v>52358364.633101858</v>
      </c>
      <c r="O71" s="16">
        <f t="shared" si="17"/>
        <v>407361.11111111112</v>
      </c>
      <c r="P71" s="16">
        <f t="shared" si="4"/>
        <v>8726387.8819444459</v>
      </c>
      <c r="Q71" s="26">
        <f t="shared" si="5"/>
        <v>43631939.409722224</v>
      </c>
      <c r="R71" s="26">
        <f t="shared" si="6"/>
        <v>43631976.75115741</v>
      </c>
      <c r="S71" s="16">
        <f t="shared" si="7"/>
        <v>8726387.8819444459</v>
      </c>
      <c r="T71" s="16">
        <f t="shared" si="8"/>
        <v>8726395.3502314817</v>
      </c>
      <c r="U71" s="26">
        <f t="shared" si="9"/>
        <v>34905551.527777776</v>
      </c>
      <c r="V71" s="26">
        <f t="shared" si="10"/>
        <v>34905581.400925927</v>
      </c>
      <c r="W71" s="16">
        <f t="shared" si="14"/>
        <v>37.341435185185183</v>
      </c>
    </row>
    <row r="72" spans="7:23" x14ac:dyDescent="0.25">
      <c r="G72">
        <v>63</v>
      </c>
      <c r="H72" s="21">
        <v>45748</v>
      </c>
      <c r="I72" s="16">
        <f t="shared" si="15"/>
        <v>33946.759259259263</v>
      </c>
      <c r="J72" s="16">
        <f t="shared" si="2"/>
        <v>6789.3518518518531</v>
      </c>
      <c r="K72" s="16">
        <f t="shared" si="16"/>
        <v>39634538.773148149</v>
      </c>
      <c r="L72" s="16">
        <f t="shared" si="12"/>
        <v>7926907.7546296306</v>
      </c>
      <c r="M72" s="26">
        <f t="shared" si="0"/>
        <v>47602182.638888896</v>
      </c>
      <c r="N72" s="26">
        <f t="shared" si="3"/>
        <v>47602216.585648157</v>
      </c>
      <c r="O72" s="16">
        <f t="shared" si="17"/>
        <v>366625</v>
      </c>
      <c r="P72" s="16">
        <f t="shared" si="4"/>
        <v>7933697.1064814823</v>
      </c>
      <c r="Q72" s="26">
        <f t="shared" si="5"/>
        <v>39668485.53240741</v>
      </c>
      <c r="R72" s="26">
        <f t="shared" si="6"/>
        <v>39668519.479166672</v>
      </c>
      <c r="S72" s="16">
        <f t="shared" si="7"/>
        <v>7933697.1064814823</v>
      </c>
      <c r="T72" s="16">
        <f t="shared" si="8"/>
        <v>7933703.8958333349</v>
      </c>
      <c r="U72" s="26">
        <f t="shared" si="9"/>
        <v>31734788.425925929</v>
      </c>
      <c r="V72" s="26">
        <f t="shared" si="10"/>
        <v>31734815.583333336</v>
      </c>
      <c r="W72" s="16">
        <f t="shared" si="14"/>
        <v>33.94675925925926</v>
      </c>
    </row>
    <row r="73" spans="7:23" x14ac:dyDescent="0.25">
      <c r="G73">
        <v>64</v>
      </c>
      <c r="H73" s="21">
        <v>45778</v>
      </c>
      <c r="I73" s="16">
        <f t="shared" si="15"/>
        <v>33946.759259259263</v>
      </c>
      <c r="J73" s="16">
        <f t="shared" si="2"/>
        <v>6789.3518518518531</v>
      </c>
      <c r="K73" s="16">
        <f t="shared" si="16"/>
        <v>35671084.895833336</v>
      </c>
      <c r="L73" s="16">
        <f t="shared" si="12"/>
        <v>7134216.9791666679</v>
      </c>
      <c r="M73" s="26">
        <f t="shared" si="0"/>
        <v>42846037.986111119</v>
      </c>
      <c r="N73" s="26">
        <f t="shared" si="3"/>
        <v>42846068.538194455</v>
      </c>
      <c r="O73" s="16">
        <f t="shared" si="17"/>
        <v>325888.88888888888</v>
      </c>
      <c r="P73" s="16">
        <f t="shared" si="4"/>
        <v>7141006.3310185196</v>
      </c>
      <c r="Q73" s="26">
        <f t="shared" si="5"/>
        <v>35705031.655092597</v>
      </c>
      <c r="R73" s="26">
        <f t="shared" si="6"/>
        <v>35705062.207175933</v>
      </c>
      <c r="S73" s="16">
        <f t="shared" si="7"/>
        <v>7141006.3310185196</v>
      </c>
      <c r="T73" s="16">
        <f t="shared" si="8"/>
        <v>7141012.4414351871</v>
      </c>
      <c r="U73" s="26">
        <f t="shared" si="9"/>
        <v>28564025.324074078</v>
      </c>
      <c r="V73" s="26">
        <f t="shared" si="10"/>
        <v>28564049.765740745</v>
      </c>
      <c r="W73" s="16">
        <f t="shared" si="14"/>
        <v>30.552083333333332</v>
      </c>
    </row>
    <row r="74" spans="7:23" x14ac:dyDescent="0.25">
      <c r="G74">
        <v>65</v>
      </c>
      <c r="H74" s="21">
        <v>45809</v>
      </c>
      <c r="I74" s="16">
        <f t="shared" ref="I74:I105" si="18">IF(G74&lt;=$D$13,$O$7/$D$13/(1+$D$20),0)</f>
        <v>33946.759259259263</v>
      </c>
      <c r="J74" s="16">
        <f t="shared" si="2"/>
        <v>6789.3518518518531</v>
      </c>
      <c r="K74" s="16">
        <f t="shared" si="16"/>
        <v>31707631.018518519</v>
      </c>
      <c r="L74" s="16">
        <f t="shared" si="12"/>
        <v>6341526.2037037043</v>
      </c>
      <c r="M74" s="26">
        <f t="shared" ref="M74:M137" si="19">IF(G74&lt;=$D$13,SUM(I74:L74),0)+IF(G74=$D$13,$D$19,0)</f>
        <v>38089893.333333336</v>
      </c>
      <c r="N74" s="26">
        <f t="shared" si="3"/>
        <v>38089920.490740746</v>
      </c>
      <c r="O74" s="16">
        <f t="shared" si="17"/>
        <v>285152.77777777775</v>
      </c>
      <c r="P74" s="16">
        <f t="shared" si="4"/>
        <v>6348315.555555556</v>
      </c>
      <c r="Q74" s="26">
        <f t="shared" si="5"/>
        <v>31741577.77777778</v>
      </c>
      <c r="R74" s="26">
        <f t="shared" si="6"/>
        <v>31741604.935185187</v>
      </c>
      <c r="S74" s="16">
        <f t="shared" si="7"/>
        <v>6348315.555555556</v>
      </c>
      <c r="T74" s="16">
        <f t="shared" si="8"/>
        <v>6348320.9870370375</v>
      </c>
      <c r="U74" s="26">
        <f t="shared" si="9"/>
        <v>25393262.222222224</v>
      </c>
      <c r="V74" s="26">
        <f t="shared" si="10"/>
        <v>25393283.94814815</v>
      </c>
      <c r="W74" s="16">
        <f t="shared" si="14"/>
        <v>27.157407407407405</v>
      </c>
    </row>
    <row r="75" spans="7:23" x14ac:dyDescent="0.25">
      <c r="G75">
        <v>66</v>
      </c>
      <c r="H75" s="21">
        <v>45839</v>
      </c>
      <c r="I75" s="16">
        <f t="shared" si="18"/>
        <v>33946.759259259263</v>
      </c>
      <c r="J75" s="16">
        <f t="shared" ref="J75:J138" si="20">IF(G75&lt;=$D$13,I75*$D$20,0)</f>
        <v>6789.3518518518531</v>
      </c>
      <c r="K75" s="16">
        <f t="shared" ref="K75:K106" si="21">IF(G75&lt;=$D$13,O74*$D$16,0)</f>
        <v>27744177.141203701</v>
      </c>
      <c r="L75" s="16">
        <f t="shared" ref="L75:L138" si="22">IF(G75&lt;=$D$13,K75*$D$20,0)</f>
        <v>5548835.4282407407</v>
      </c>
      <c r="M75" s="26">
        <f t="shared" si="19"/>
        <v>33333748.680555552</v>
      </c>
      <c r="N75" s="26">
        <f t="shared" ref="N75:N138" si="23">M75+W75</f>
        <v>33333772.443287034</v>
      </c>
      <c r="O75" s="16">
        <f t="shared" ref="O75:O106" si="24">IF(G75&lt;=$D$13,O74-I75-J75,0)</f>
        <v>244416.66666666663</v>
      </c>
      <c r="P75" s="16">
        <f t="shared" ref="P75:P138" si="25">IF($D$31="нет",0,J75+L75+IF(G75=$D$13,$D$19*$D$20/(1+$D$20),0))</f>
        <v>5555624.7800925924</v>
      </c>
      <c r="Q75" s="26">
        <f t="shared" ref="Q75:Q138" si="26">IF(G75&lt;=$D$13,M75-P75,0)</f>
        <v>27778123.900462959</v>
      </c>
      <c r="R75" s="26">
        <f t="shared" ref="R75:R138" si="27">Q75+W75</f>
        <v>27778147.66319444</v>
      </c>
      <c r="S75" s="16">
        <f t="shared" ref="S75:S138" si="28">IF($D$32="да",Q75*$D$21,0)</f>
        <v>5555624.7800925924</v>
      </c>
      <c r="T75" s="16">
        <f t="shared" ref="T75:T138" si="29">IF($D$32="да",R75*$D$21,0)</f>
        <v>5555629.5326388888</v>
      </c>
      <c r="U75" s="26">
        <f t="shared" ref="U75:U138" si="30">Q75-S75</f>
        <v>22222499.120370366</v>
      </c>
      <c r="V75" s="26">
        <f t="shared" ref="V75:V138" si="31">R75-T75</f>
        <v>22222518.130555551</v>
      </c>
      <c r="W75" s="16">
        <f t="shared" si="14"/>
        <v>23.762731481481477</v>
      </c>
    </row>
    <row r="76" spans="7:23" x14ac:dyDescent="0.25">
      <c r="G76">
        <v>67</v>
      </c>
      <c r="H76" s="21">
        <v>45870</v>
      </c>
      <c r="I76" s="16">
        <f t="shared" si="18"/>
        <v>33946.759259259263</v>
      </c>
      <c r="J76" s="16">
        <f t="shared" si="20"/>
        <v>6789.3518518518531</v>
      </c>
      <c r="K76" s="16">
        <f t="shared" si="21"/>
        <v>23780723.263888884</v>
      </c>
      <c r="L76" s="16">
        <f t="shared" si="22"/>
        <v>4756144.6527777771</v>
      </c>
      <c r="M76" s="26">
        <f t="shared" si="19"/>
        <v>28577604.027777772</v>
      </c>
      <c r="N76" s="26">
        <f t="shared" si="23"/>
        <v>28577624.395833328</v>
      </c>
      <c r="O76" s="16">
        <f t="shared" si="24"/>
        <v>203680.5555555555</v>
      </c>
      <c r="P76" s="16">
        <f t="shared" si="25"/>
        <v>4762934.0046296287</v>
      </c>
      <c r="Q76" s="26">
        <f t="shared" si="26"/>
        <v>23814670.023148142</v>
      </c>
      <c r="R76" s="26">
        <f t="shared" si="27"/>
        <v>23814690.391203698</v>
      </c>
      <c r="S76" s="16">
        <f t="shared" si="28"/>
        <v>4762934.0046296287</v>
      </c>
      <c r="T76" s="16">
        <f t="shared" si="29"/>
        <v>4762938.0782407401</v>
      </c>
      <c r="U76" s="26">
        <f t="shared" si="30"/>
        <v>19051736.018518515</v>
      </c>
      <c r="V76" s="26">
        <f t="shared" si="31"/>
        <v>19051752.312962957</v>
      </c>
      <c r="W76" s="16">
        <f t="shared" ref="W76:W139" si="32">IF(G76&lt;=$D$13,$D$22*O75,0)</f>
        <v>20.36805555555555</v>
      </c>
    </row>
    <row r="77" spans="7:23" x14ac:dyDescent="0.25">
      <c r="G77">
        <v>68</v>
      </c>
      <c r="H77" s="21">
        <v>45901</v>
      </c>
      <c r="I77" s="16">
        <f t="shared" si="18"/>
        <v>33946.759259259263</v>
      </c>
      <c r="J77" s="16">
        <f t="shared" si="20"/>
        <v>6789.3518518518531</v>
      </c>
      <c r="K77" s="16">
        <f t="shared" si="21"/>
        <v>19817269.386574071</v>
      </c>
      <c r="L77" s="16">
        <f t="shared" si="22"/>
        <v>3963453.8773148144</v>
      </c>
      <c r="M77" s="26">
        <f t="shared" si="19"/>
        <v>23821459.374999996</v>
      </c>
      <c r="N77" s="26">
        <f t="shared" si="23"/>
        <v>23821476.348379627</v>
      </c>
      <c r="O77" s="16">
        <f t="shared" si="24"/>
        <v>162944.44444444438</v>
      </c>
      <c r="P77" s="16">
        <f t="shared" si="25"/>
        <v>3970243.229166666</v>
      </c>
      <c r="Q77" s="26">
        <f t="shared" si="26"/>
        <v>19851216.145833328</v>
      </c>
      <c r="R77" s="26">
        <f t="shared" si="27"/>
        <v>19851233.119212959</v>
      </c>
      <c r="S77" s="16">
        <f t="shared" si="28"/>
        <v>3970243.229166666</v>
      </c>
      <c r="T77" s="16">
        <f t="shared" si="29"/>
        <v>3970246.6238425919</v>
      </c>
      <c r="U77" s="26">
        <f t="shared" si="30"/>
        <v>15880972.916666662</v>
      </c>
      <c r="V77" s="26">
        <f t="shared" si="31"/>
        <v>15880986.495370368</v>
      </c>
      <c r="W77" s="16">
        <f t="shared" si="32"/>
        <v>16.973379629629626</v>
      </c>
    </row>
    <row r="78" spans="7:23" x14ac:dyDescent="0.25">
      <c r="G78">
        <v>69</v>
      </c>
      <c r="H78" s="21">
        <v>45931</v>
      </c>
      <c r="I78" s="16">
        <f t="shared" si="18"/>
        <v>33946.759259259263</v>
      </c>
      <c r="J78" s="16">
        <f t="shared" si="20"/>
        <v>6789.3518518518531</v>
      </c>
      <c r="K78" s="16">
        <f t="shared" si="21"/>
        <v>15853815.509259254</v>
      </c>
      <c r="L78" s="16">
        <f t="shared" si="22"/>
        <v>3170763.1018518507</v>
      </c>
      <c r="M78" s="26">
        <f t="shared" si="19"/>
        <v>19065314.722222216</v>
      </c>
      <c r="N78" s="26">
        <f t="shared" si="23"/>
        <v>19065328.300925922</v>
      </c>
      <c r="O78" s="16">
        <f t="shared" si="24"/>
        <v>122208.33333333326</v>
      </c>
      <c r="P78" s="16">
        <f t="shared" si="25"/>
        <v>3177552.4537037024</v>
      </c>
      <c r="Q78" s="26">
        <f t="shared" si="26"/>
        <v>15887762.268518515</v>
      </c>
      <c r="R78" s="26">
        <f t="shared" si="27"/>
        <v>15887775.847222218</v>
      </c>
      <c r="S78" s="16">
        <f t="shared" si="28"/>
        <v>3177552.4537037034</v>
      </c>
      <c r="T78" s="16">
        <f t="shared" si="29"/>
        <v>3177555.1694444437</v>
      </c>
      <c r="U78" s="26">
        <f t="shared" si="30"/>
        <v>12710209.814814812</v>
      </c>
      <c r="V78" s="26">
        <f t="shared" si="31"/>
        <v>12710220.677777775</v>
      </c>
      <c r="W78" s="16">
        <f t="shared" si="32"/>
        <v>13.578703703703697</v>
      </c>
    </row>
    <row r="79" spans="7:23" x14ac:dyDescent="0.25">
      <c r="G79">
        <v>70</v>
      </c>
      <c r="H79" s="21">
        <v>45962</v>
      </c>
      <c r="I79" s="16">
        <f t="shared" si="18"/>
        <v>33946.759259259263</v>
      </c>
      <c r="J79" s="16">
        <f t="shared" si="20"/>
        <v>6789.3518518518531</v>
      </c>
      <c r="K79" s="16">
        <f t="shared" si="21"/>
        <v>11890361.631944437</v>
      </c>
      <c r="L79" s="16">
        <f t="shared" si="22"/>
        <v>2378072.3263888876</v>
      </c>
      <c r="M79" s="26">
        <f t="shared" si="19"/>
        <v>14309170.069444437</v>
      </c>
      <c r="N79" s="26">
        <f t="shared" si="23"/>
        <v>14309180.253472215</v>
      </c>
      <c r="O79" s="16">
        <f t="shared" si="24"/>
        <v>81472.222222222132</v>
      </c>
      <c r="P79" s="16">
        <f t="shared" si="25"/>
        <v>2384861.6782407393</v>
      </c>
      <c r="Q79" s="26">
        <f t="shared" si="26"/>
        <v>11924308.391203698</v>
      </c>
      <c r="R79" s="26">
        <f t="shared" si="27"/>
        <v>11924318.575231476</v>
      </c>
      <c r="S79" s="16">
        <f t="shared" si="28"/>
        <v>2384861.6782407397</v>
      </c>
      <c r="T79" s="16">
        <f t="shared" si="29"/>
        <v>2384863.7150462954</v>
      </c>
      <c r="U79" s="26">
        <f t="shared" si="30"/>
        <v>9539446.712962959</v>
      </c>
      <c r="V79" s="26">
        <f t="shared" si="31"/>
        <v>9539454.8601851799</v>
      </c>
      <c r="W79" s="16">
        <f t="shared" si="32"/>
        <v>10.184027777777771</v>
      </c>
    </row>
    <row r="80" spans="7:23" x14ac:dyDescent="0.25">
      <c r="G80">
        <v>71</v>
      </c>
      <c r="H80" s="21">
        <v>45992</v>
      </c>
      <c r="I80" s="16">
        <f t="shared" si="18"/>
        <v>33946.759259259263</v>
      </c>
      <c r="J80" s="16">
        <f t="shared" si="20"/>
        <v>6789.3518518518531</v>
      </c>
      <c r="K80" s="16">
        <f t="shared" si="21"/>
        <v>7926907.7546296213</v>
      </c>
      <c r="L80" s="16">
        <f t="shared" si="22"/>
        <v>1585381.5509259244</v>
      </c>
      <c r="M80" s="26">
        <f t="shared" si="19"/>
        <v>9553025.4166666567</v>
      </c>
      <c r="N80" s="26">
        <f t="shared" si="23"/>
        <v>9553032.2060185093</v>
      </c>
      <c r="O80" s="16">
        <f t="shared" si="24"/>
        <v>40736.111111111015</v>
      </c>
      <c r="P80" s="16">
        <f t="shared" si="25"/>
        <v>1592170.9027777764</v>
      </c>
      <c r="Q80" s="26">
        <f t="shared" si="26"/>
        <v>7960854.5138888806</v>
      </c>
      <c r="R80" s="26">
        <f t="shared" si="27"/>
        <v>7960861.3032407323</v>
      </c>
      <c r="S80" s="16">
        <f t="shared" si="28"/>
        <v>1592170.9027777761</v>
      </c>
      <c r="T80" s="16">
        <f t="shared" si="29"/>
        <v>1592172.2606481465</v>
      </c>
      <c r="U80" s="26">
        <f t="shared" si="30"/>
        <v>6368683.6111111045</v>
      </c>
      <c r="V80" s="26">
        <f t="shared" si="31"/>
        <v>6368689.042592586</v>
      </c>
      <c r="W80" s="16">
        <f t="shared" si="32"/>
        <v>6.7893518518518441</v>
      </c>
    </row>
    <row r="81" spans="7:23" x14ac:dyDescent="0.25">
      <c r="G81">
        <v>72</v>
      </c>
      <c r="H81" s="21">
        <v>46023</v>
      </c>
      <c r="I81" s="16">
        <f t="shared" si="18"/>
        <v>33946.759259259263</v>
      </c>
      <c r="J81" s="16">
        <f t="shared" si="20"/>
        <v>6789.3518518518531</v>
      </c>
      <c r="K81" s="16">
        <f t="shared" si="21"/>
        <v>3963453.8773148055</v>
      </c>
      <c r="L81" s="16">
        <f t="shared" si="22"/>
        <v>792690.77546296117</v>
      </c>
      <c r="M81" s="26">
        <f t="shared" si="19"/>
        <v>4797880.7638888778</v>
      </c>
      <c r="N81" s="26">
        <f t="shared" si="23"/>
        <v>4797884.1585648041</v>
      </c>
      <c r="O81" s="16">
        <f t="shared" si="24"/>
        <v>-1.0095391189679503E-10</v>
      </c>
      <c r="P81" s="16">
        <f t="shared" si="25"/>
        <v>799646.7939814796</v>
      </c>
      <c r="Q81" s="26">
        <f t="shared" si="26"/>
        <v>3998233.9699073983</v>
      </c>
      <c r="R81" s="26">
        <f t="shared" si="27"/>
        <v>3998237.3645833242</v>
      </c>
      <c r="S81" s="16">
        <f t="shared" si="28"/>
        <v>799646.79398147971</v>
      </c>
      <c r="T81" s="16">
        <f t="shared" si="29"/>
        <v>799647.4729166649</v>
      </c>
      <c r="U81" s="26">
        <f t="shared" si="30"/>
        <v>3198587.1759259189</v>
      </c>
      <c r="V81" s="26">
        <f t="shared" si="31"/>
        <v>3198589.8916666592</v>
      </c>
      <c r="W81" s="16">
        <f t="shared" si="32"/>
        <v>3.3946759259259176</v>
      </c>
    </row>
    <row r="82" spans="7:23" x14ac:dyDescent="0.25">
      <c r="G82">
        <v>73</v>
      </c>
      <c r="H82" s="21">
        <v>46054</v>
      </c>
      <c r="I82" s="16">
        <f t="shared" si="18"/>
        <v>0</v>
      </c>
      <c r="J82" s="16">
        <f t="shared" si="20"/>
        <v>0</v>
      </c>
      <c r="K82" s="16">
        <f t="shared" si="21"/>
        <v>0</v>
      </c>
      <c r="L82" s="16">
        <f t="shared" si="22"/>
        <v>0</v>
      </c>
      <c r="M82" s="26">
        <f t="shared" si="19"/>
        <v>0</v>
      </c>
      <c r="N82" s="26">
        <f t="shared" si="23"/>
        <v>0</v>
      </c>
      <c r="O82" s="16">
        <f t="shared" si="24"/>
        <v>0</v>
      </c>
      <c r="P82" s="16">
        <f t="shared" si="25"/>
        <v>0</v>
      </c>
      <c r="Q82" s="26">
        <f t="shared" si="26"/>
        <v>0</v>
      </c>
      <c r="R82" s="26">
        <f t="shared" si="27"/>
        <v>0</v>
      </c>
      <c r="S82" s="16">
        <f t="shared" si="28"/>
        <v>0</v>
      </c>
      <c r="T82" s="16">
        <f t="shared" si="29"/>
        <v>0</v>
      </c>
      <c r="U82" s="26">
        <f t="shared" si="30"/>
        <v>0</v>
      </c>
      <c r="V82" s="26">
        <f t="shared" si="31"/>
        <v>0</v>
      </c>
      <c r="W82" s="16">
        <f t="shared" si="32"/>
        <v>0</v>
      </c>
    </row>
    <row r="83" spans="7:23" x14ac:dyDescent="0.25">
      <c r="G83">
        <v>74</v>
      </c>
      <c r="H83" s="21">
        <v>46082</v>
      </c>
      <c r="I83" s="16">
        <f t="shared" si="18"/>
        <v>0</v>
      </c>
      <c r="J83" s="16">
        <f t="shared" si="20"/>
        <v>0</v>
      </c>
      <c r="K83" s="16">
        <f t="shared" si="21"/>
        <v>0</v>
      </c>
      <c r="L83" s="16">
        <f t="shared" si="22"/>
        <v>0</v>
      </c>
      <c r="M83" s="26">
        <f t="shared" si="19"/>
        <v>0</v>
      </c>
      <c r="N83" s="26">
        <f t="shared" si="23"/>
        <v>0</v>
      </c>
      <c r="O83" s="16">
        <f t="shared" si="24"/>
        <v>0</v>
      </c>
      <c r="P83" s="16">
        <f t="shared" si="25"/>
        <v>0</v>
      </c>
      <c r="Q83" s="26">
        <f t="shared" si="26"/>
        <v>0</v>
      </c>
      <c r="R83" s="26">
        <f t="shared" si="27"/>
        <v>0</v>
      </c>
      <c r="S83" s="16">
        <f t="shared" si="28"/>
        <v>0</v>
      </c>
      <c r="T83" s="16">
        <f t="shared" si="29"/>
        <v>0</v>
      </c>
      <c r="U83" s="26">
        <f t="shared" si="30"/>
        <v>0</v>
      </c>
      <c r="V83" s="26">
        <f t="shared" si="31"/>
        <v>0</v>
      </c>
      <c r="W83" s="16">
        <f t="shared" si="32"/>
        <v>0</v>
      </c>
    </row>
    <row r="84" spans="7:23" x14ac:dyDescent="0.25">
      <c r="G84">
        <v>75</v>
      </c>
      <c r="H84" s="21">
        <v>46113</v>
      </c>
      <c r="I84" s="16">
        <f t="shared" si="18"/>
        <v>0</v>
      </c>
      <c r="J84" s="16">
        <f t="shared" si="20"/>
        <v>0</v>
      </c>
      <c r="K84" s="16">
        <f t="shared" si="21"/>
        <v>0</v>
      </c>
      <c r="L84" s="16">
        <f t="shared" si="22"/>
        <v>0</v>
      </c>
      <c r="M84" s="26">
        <f t="shared" si="19"/>
        <v>0</v>
      </c>
      <c r="N84" s="26">
        <f t="shared" si="23"/>
        <v>0</v>
      </c>
      <c r="O84" s="16">
        <f t="shared" si="24"/>
        <v>0</v>
      </c>
      <c r="P84" s="16">
        <f t="shared" si="25"/>
        <v>0</v>
      </c>
      <c r="Q84" s="26">
        <f t="shared" si="26"/>
        <v>0</v>
      </c>
      <c r="R84" s="26">
        <f t="shared" si="27"/>
        <v>0</v>
      </c>
      <c r="S84" s="16">
        <f t="shared" si="28"/>
        <v>0</v>
      </c>
      <c r="T84" s="16">
        <f t="shared" si="29"/>
        <v>0</v>
      </c>
      <c r="U84" s="26">
        <f t="shared" si="30"/>
        <v>0</v>
      </c>
      <c r="V84" s="26">
        <f t="shared" si="31"/>
        <v>0</v>
      </c>
      <c r="W84" s="16">
        <f t="shared" si="32"/>
        <v>0</v>
      </c>
    </row>
    <row r="85" spans="7:23" x14ac:dyDescent="0.25">
      <c r="G85">
        <v>76</v>
      </c>
      <c r="H85" s="21">
        <v>46143</v>
      </c>
      <c r="I85" s="16">
        <f t="shared" si="18"/>
        <v>0</v>
      </c>
      <c r="J85" s="16">
        <f t="shared" si="20"/>
        <v>0</v>
      </c>
      <c r="K85" s="16">
        <f t="shared" si="21"/>
        <v>0</v>
      </c>
      <c r="L85" s="16">
        <f t="shared" si="22"/>
        <v>0</v>
      </c>
      <c r="M85" s="26">
        <f t="shared" si="19"/>
        <v>0</v>
      </c>
      <c r="N85" s="26">
        <f t="shared" si="23"/>
        <v>0</v>
      </c>
      <c r="O85" s="16">
        <f t="shared" si="24"/>
        <v>0</v>
      </c>
      <c r="P85" s="16">
        <f t="shared" si="25"/>
        <v>0</v>
      </c>
      <c r="Q85" s="26">
        <f t="shared" si="26"/>
        <v>0</v>
      </c>
      <c r="R85" s="26">
        <f t="shared" si="27"/>
        <v>0</v>
      </c>
      <c r="S85" s="16">
        <f t="shared" si="28"/>
        <v>0</v>
      </c>
      <c r="T85" s="16">
        <f t="shared" si="29"/>
        <v>0</v>
      </c>
      <c r="U85" s="26">
        <f t="shared" si="30"/>
        <v>0</v>
      </c>
      <c r="V85" s="26">
        <f t="shared" si="31"/>
        <v>0</v>
      </c>
      <c r="W85" s="16">
        <f t="shared" si="32"/>
        <v>0</v>
      </c>
    </row>
    <row r="86" spans="7:23" x14ac:dyDescent="0.25">
      <c r="G86">
        <v>77</v>
      </c>
      <c r="H86" s="21">
        <v>46174</v>
      </c>
      <c r="I86" s="16">
        <f t="shared" si="18"/>
        <v>0</v>
      </c>
      <c r="J86" s="16">
        <f t="shared" si="20"/>
        <v>0</v>
      </c>
      <c r="K86" s="16">
        <f t="shared" si="21"/>
        <v>0</v>
      </c>
      <c r="L86" s="16">
        <f t="shared" si="22"/>
        <v>0</v>
      </c>
      <c r="M86" s="26">
        <f t="shared" si="19"/>
        <v>0</v>
      </c>
      <c r="N86" s="26">
        <f t="shared" si="23"/>
        <v>0</v>
      </c>
      <c r="O86" s="16">
        <f t="shared" si="24"/>
        <v>0</v>
      </c>
      <c r="P86" s="16">
        <f t="shared" si="25"/>
        <v>0</v>
      </c>
      <c r="Q86" s="26">
        <f t="shared" si="26"/>
        <v>0</v>
      </c>
      <c r="R86" s="26">
        <f t="shared" si="27"/>
        <v>0</v>
      </c>
      <c r="S86" s="16">
        <f t="shared" si="28"/>
        <v>0</v>
      </c>
      <c r="T86" s="16">
        <f t="shared" si="29"/>
        <v>0</v>
      </c>
      <c r="U86" s="26">
        <f t="shared" si="30"/>
        <v>0</v>
      </c>
      <c r="V86" s="26">
        <f t="shared" si="31"/>
        <v>0</v>
      </c>
      <c r="W86" s="16">
        <f t="shared" si="32"/>
        <v>0</v>
      </c>
    </row>
    <row r="87" spans="7:23" x14ac:dyDescent="0.25">
      <c r="G87">
        <v>78</v>
      </c>
      <c r="H87" s="21">
        <v>46204</v>
      </c>
      <c r="I87" s="16">
        <f t="shared" si="18"/>
        <v>0</v>
      </c>
      <c r="J87" s="16">
        <f t="shared" si="20"/>
        <v>0</v>
      </c>
      <c r="K87" s="16">
        <f t="shared" si="21"/>
        <v>0</v>
      </c>
      <c r="L87" s="16">
        <f t="shared" si="22"/>
        <v>0</v>
      </c>
      <c r="M87" s="26">
        <f t="shared" si="19"/>
        <v>0</v>
      </c>
      <c r="N87" s="26">
        <f t="shared" si="23"/>
        <v>0</v>
      </c>
      <c r="O87" s="16">
        <f t="shared" si="24"/>
        <v>0</v>
      </c>
      <c r="P87" s="16">
        <f t="shared" si="25"/>
        <v>0</v>
      </c>
      <c r="Q87" s="26">
        <f t="shared" si="26"/>
        <v>0</v>
      </c>
      <c r="R87" s="26">
        <f t="shared" si="27"/>
        <v>0</v>
      </c>
      <c r="S87" s="16">
        <f t="shared" si="28"/>
        <v>0</v>
      </c>
      <c r="T87" s="16">
        <f t="shared" si="29"/>
        <v>0</v>
      </c>
      <c r="U87" s="26">
        <f t="shared" si="30"/>
        <v>0</v>
      </c>
      <c r="V87" s="26">
        <f t="shared" si="31"/>
        <v>0</v>
      </c>
      <c r="W87" s="16">
        <f t="shared" si="32"/>
        <v>0</v>
      </c>
    </row>
    <row r="88" spans="7:23" x14ac:dyDescent="0.25">
      <c r="G88">
        <v>79</v>
      </c>
      <c r="H88" s="21">
        <v>46235</v>
      </c>
      <c r="I88" s="16">
        <f t="shared" si="18"/>
        <v>0</v>
      </c>
      <c r="J88" s="16">
        <f t="shared" si="20"/>
        <v>0</v>
      </c>
      <c r="K88" s="16">
        <f t="shared" si="21"/>
        <v>0</v>
      </c>
      <c r="L88" s="16">
        <f t="shared" si="22"/>
        <v>0</v>
      </c>
      <c r="M88" s="26">
        <f t="shared" si="19"/>
        <v>0</v>
      </c>
      <c r="N88" s="26">
        <f t="shared" si="23"/>
        <v>0</v>
      </c>
      <c r="O88" s="16">
        <f t="shared" si="24"/>
        <v>0</v>
      </c>
      <c r="P88" s="16">
        <f t="shared" si="25"/>
        <v>0</v>
      </c>
      <c r="Q88" s="26">
        <f t="shared" si="26"/>
        <v>0</v>
      </c>
      <c r="R88" s="26">
        <f t="shared" si="27"/>
        <v>0</v>
      </c>
      <c r="S88" s="16">
        <f t="shared" si="28"/>
        <v>0</v>
      </c>
      <c r="T88" s="16">
        <f t="shared" si="29"/>
        <v>0</v>
      </c>
      <c r="U88" s="26">
        <f t="shared" si="30"/>
        <v>0</v>
      </c>
      <c r="V88" s="26">
        <f t="shared" si="31"/>
        <v>0</v>
      </c>
      <c r="W88" s="16">
        <f t="shared" si="32"/>
        <v>0</v>
      </c>
    </row>
    <row r="89" spans="7:23" x14ac:dyDescent="0.25">
      <c r="G89">
        <v>80</v>
      </c>
      <c r="H89" s="21">
        <v>46266</v>
      </c>
      <c r="I89" s="16">
        <f t="shared" si="18"/>
        <v>0</v>
      </c>
      <c r="J89" s="16">
        <f t="shared" si="20"/>
        <v>0</v>
      </c>
      <c r="K89" s="16">
        <f t="shared" si="21"/>
        <v>0</v>
      </c>
      <c r="L89" s="16">
        <f t="shared" si="22"/>
        <v>0</v>
      </c>
      <c r="M89" s="26">
        <f t="shared" si="19"/>
        <v>0</v>
      </c>
      <c r="N89" s="26">
        <f t="shared" si="23"/>
        <v>0</v>
      </c>
      <c r="O89" s="16">
        <f t="shared" si="24"/>
        <v>0</v>
      </c>
      <c r="P89" s="16">
        <f t="shared" si="25"/>
        <v>0</v>
      </c>
      <c r="Q89" s="26">
        <f t="shared" si="26"/>
        <v>0</v>
      </c>
      <c r="R89" s="26">
        <f t="shared" si="27"/>
        <v>0</v>
      </c>
      <c r="S89" s="16">
        <f t="shared" si="28"/>
        <v>0</v>
      </c>
      <c r="T89" s="16">
        <f t="shared" si="29"/>
        <v>0</v>
      </c>
      <c r="U89" s="26">
        <f t="shared" si="30"/>
        <v>0</v>
      </c>
      <c r="V89" s="26">
        <f t="shared" si="31"/>
        <v>0</v>
      </c>
      <c r="W89" s="16">
        <f t="shared" si="32"/>
        <v>0</v>
      </c>
    </row>
    <row r="90" spans="7:23" x14ac:dyDescent="0.25">
      <c r="G90">
        <v>81</v>
      </c>
      <c r="H90" s="21">
        <v>46296</v>
      </c>
      <c r="I90" s="16">
        <f t="shared" si="18"/>
        <v>0</v>
      </c>
      <c r="J90" s="16">
        <f t="shared" si="20"/>
        <v>0</v>
      </c>
      <c r="K90" s="16">
        <f t="shared" si="21"/>
        <v>0</v>
      </c>
      <c r="L90" s="16">
        <f t="shared" si="22"/>
        <v>0</v>
      </c>
      <c r="M90" s="26">
        <f t="shared" si="19"/>
        <v>0</v>
      </c>
      <c r="N90" s="26">
        <f t="shared" si="23"/>
        <v>0</v>
      </c>
      <c r="O90" s="16">
        <f t="shared" si="24"/>
        <v>0</v>
      </c>
      <c r="P90" s="16">
        <f t="shared" si="25"/>
        <v>0</v>
      </c>
      <c r="Q90" s="26">
        <f t="shared" si="26"/>
        <v>0</v>
      </c>
      <c r="R90" s="26">
        <f t="shared" si="27"/>
        <v>0</v>
      </c>
      <c r="S90" s="16">
        <f t="shared" si="28"/>
        <v>0</v>
      </c>
      <c r="T90" s="16">
        <f t="shared" si="29"/>
        <v>0</v>
      </c>
      <c r="U90" s="26">
        <f t="shared" si="30"/>
        <v>0</v>
      </c>
      <c r="V90" s="26">
        <f t="shared" si="31"/>
        <v>0</v>
      </c>
      <c r="W90" s="16">
        <f t="shared" si="32"/>
        <v>0</v>
      </c>
    </row>
    <row r="91" spans="7:23" x14ac:dyDescent="0.25">
      <c r="G91">
        <v>82</v>
      </c>
      <c r="H91" s="21">
        <v>46327</v>
      </c>
      <c r="I91" s="16">
        <f t="shared" si="18"/>
        <v>0</v>
      </c>
      <c r="J91" s="16">
        <f t="shared" si="20"/>
        <v>0</v>
      </c>
      <c r="K91" s="16">
        <f t="shared" si="21"/>
        <v>0</v>
      </c>
      <c r="L91" s="16">
        <f t="shared" si="22"/>
        <v>0</v>
      </c>
      <c r="M91" s="26">
        <f t="shared" si="19"/>
        <v>0</v>
      </c>
      <c r="N91" s="26">
        <f t="shared" si="23"/>
        <v>0</v>
      </c>
      <c r="O91" s="16">
        <f t="shared" si="24"/>
        <v>0</v>
      </c>
      <c r="P91" s="16">
        <f t="shared" si="25"/>
        <v>0</v>
      </c>
      <c r="Q91" s="26">
        <f t="shared" si="26"/>
        <v>0</v>
      </c>
      <c r="R91" s="26">
        <f t="shared" si="27"/>
        <v>0</v>
      </c>
      <c r="S91" s="16">
        <f t="shared" si="28"/>
        <v>0</v>
      </c>
      <c r="T91" s="16">
        <f t="shared" si="29"/>
        <v>0</v>
      </c>
      <c r="U91" s="26">
        <f t="shared" si="30"/>
        <v>0</v>
      </c>
      <c r="V91" s="26">
        <f t="shared" si="31"/>
        <v>0</v>
      </c>
      <c r="W91" s="16">
        <f t="shared" si="32"/>
        <v>0</v>
      </c>
    </row>
    <row r="92" spans="7:23" x14ac:dyDescent="0.25">
      <c r="G92">
        <v>83</v>
      </c>
      <c r="H92" s="21">
        <v>46357</v>
      </c>
      <c r="I92" s="16">
        <f t="shared" si="18"/>
        <v>0</v>
      </c>
      <c r="J92" s="16">
        <f t="shared" si="20"/>
        <v>0</v>
      </c>
      <c r="K92" s="16">
        <f t="shared" si="21"/>
        <v>0</v>
      </c>
      <c r="L92" s="16">
        <f t="shared" si="22"/>
        <v>0</v>
      </c>
      <c r="M92" s="26">
        <f t="shared" si="19"/>
        <v>0</v>
      </c>
      <c r="N92" s="26">
        <f t="shared" si="23"/>
        <v>0</v>
      </c>
      <c r="O92" s="16">
        <f t="shared" si="24"/>
        <v>0</v>
      </c>
      <c r="P92" s="16">
        <f t="shared" si="25"/>
        <v>0</v>
      </c>
      <c r="Q92" s="26">
        <f t="shared" si="26"/>
        <v>0</v>
      </c>
      <c r="R92" s="26">
        <f t="shared" si="27"/>
        <v>0</v>
      </c>
      <c r="S92" s="16">
        <f t="shared" si="28"/>
        <v>0</v>
      </c>
      <c r="T92" s="16">
        <f t="shared" si="29"/>
        <v>0</v>
      </c>
      <c r="U92" s="26">
        <f t="shared" si="30"/>
        <v>0</v>
      </c>
      <c r="V92" s="26">
        <f t="shared" si="31"/>
        <v>0</v>
      </c>
      <c r="W92" s="16">
        <f t="shared" si="32"/>
        <v>0</v>
      </c>
    </row>
    <row r="93" spans="7:23" x14ac:dyDescent="0.25">
      <c r="G93">
        <v>84</v>
      </c>
      <c r="H93" s="21">
        <v>46388</v>
      </c>
      <c r="I93" s="16">
        <f t="shared" si="18"/>
        <v>0</v>
      </c>
      <c r="J93" s="16">
        <f t="shared" si="20"/>
        <v>0</v>
      </c>
      <c r="K93" s="16">
        <f t="shared" si="21"/>
        <v>0</v>
      </c>
      <c r="L93" s="16">
        <f t="shared" si="22"/>
        <v>0</v>
      </c>
      <c r="M93" s="26">
        <f t="shared" si="19"/>
        <v>0</v>
      </c>
      <c r="N93" s="26">
        <f t="shared" si="23"/>
        <v>0</v>
      </c>
      <c r="O93" s="16">
        <f t="shared" si="24"/>
        <v>0</v>
      </c>
      <c r="P93" s="16">
        <f t="shared" si="25"/>
        <v>0</v>
      </c>
      <c r="Q93" s="26">
        <f t="shared" si="26"/>
        <v>0</v>
      </c>
      <c r="R93" s="26">
        <f t="shared" si="27"/>
        <v>0</v>
      </c>
      <c r="S93" s="16">
        <f t="shared" si="28"/>
        <v>0</v>
      </c>
      <c r="T93" s="16">
        <f t="shared" si="29"/>
        <v>0</v>
      </c>
      <c r="U93" s="26">
        <f t="shared" si="30"/>
        <v>0</v>
      </c>
      <c r="V93" s="26">
        <f t="shared" si="31"/>
        <v>0</v>
      </c>
      <c r="W93" s="16">
        <f t="shared" si="32"/>
        <v>0</v>
      </c>
    </row>
    <row r="94" spans="7:23" x14ac:dyDescent="0.25">
      <c r="G94">
        <v>85</v>
      </c>
      <c r="H94" s="21">
        <v>46419</v>
      </c>
      <c r="I94" s="16">
        <f t="shared" si="18"/>
        <v>0</v>
      </c>
      <c r="J94" s="16">
        <f t="shared" si="20"/>
        <v>0</v>
      </c>
      <c r="K94" s="16">
        <f t="shared" si="21"/>
        <v>0</v>
      </c>
      <c r="L94" s="16">
        <f t="shared" si="22"/>
        <v>0</v>
      </c>
      <c r="M94" s="26">
        <f t="shared" si="19"/>
        <v>0</v>
      </c>
      <c r="N94" s="26">
        <f t="shared" si="23"/>
        <v>0</v>
      </c>
      <c r="O94" s="16">
        <f t="shared" si="24"/>
        <v>0</v>
      </c>
      <c r="P94" s="16">
        <f t="shared" si="25"/>
        <v>0</v>
      </c>
      <c r="Q94" s="26">
        <f t="shared" si="26"/>
        <v>0</v>
      </c>
      <c r="R94" s="26">
        <f t="shared" si="27"/>
        <v>0</v>
      </c>
      <c r="S94" s="16">
        <f t="shared" si="28"/>
        <v>0</v>
      </c>
      <c r="T94" s="16">
        <f t="shared" si="29"/>
        <v>0</v>
      </c>
      <c r="U94" s="26">
        <f t="shared" si="30"/>
        <v>0</v>
      </c>
      <c r="V94" s="26">
        <f t="shared" si="31"/>
        <v>0</v>
      </c>
      <c r="W94" s="16">
        <f t="shared" si="32"/>
        <v>0</v>
      </c>
    </row>
    <row r="95" spans="7:23" x14ac:dyDescent="0.25">
      <c r="G95">
        <v>86</v>
      </c>
      <c r="H95" s="21">
        <v>46447</v>
      </c>
      <c r="I95" s="16">
        <f t="shared" si="18"/>
        <v>0</v>
      </c>
      <c r="J95" s="16">
        <f t="shared" si="20"/>
        <v>0</v>
      </c>
      <c r="K95" s="16">
        <f t="shared" si="21"/>
        <v>0</v>
      </c>
      <c r="L95" s="16">
        <f t="shared" si="22"/>
        <v>0</v>
      </c>
      <c r="M95" s="26">
        <f t="shared" si="19"/>
        <v>0</v>
      </c>
      <c r="N95" s="26">
        <f t="shared" si="23"/>
        <v>0</v>
      </c>
      <c r="O95" s="16">
        <f t="shared" si="24"/>
        <v>0</v>
      </c>
      <c r="P95" s="16">
        <f t="shared" si="25"/>
        <v>0</v>
      </c>
      <c r="Q95" s="26">
        <f t="shared" si="26"/>
        <v>0</v>
      </c>
      <c r="R95" s="26">
        <f t="shared" si="27"/>
        <v>0</v>
      </c>
      <c r="S95" s="16">
        <f t="shared" si="28"/>
        <v>0</v>
      </c>
      <c r="T95" s="16">
        <f t="shared" si="29"/>
        <v>0</v>
      </c>
      <c r="U95" s="26">
        <f t="shared" si="30"/>
        <v>0</v>
      </c>
      <c r="V95" s="26">
        <f t="shared" si="31"/>
        <v>0</v>
      </c>
      <c r="W95" s="16">
        <f t="shared" si="32"/>
        <v>0</v>
      </c>
    </row>
    <row r="96" spans="7:23" x14ac:dyDescent="0.25">
      <c r="G96">
        <v>87</v>
      </c>
      <c r="H96" s="21">
        <v>46478</v>
      </c>
      <c r="I96" s="16">
        <f t="shared" si="18"/>
        <v>0</v>
      </c>
      <c r="J96" s="16">
        <f t="shared" si="20"/>
        <v>0</v>
      </c>
      <c r="K96" s="16">
        <f t="shared" si="21"/>
        <v>0</v>
      </c>
      <c r="L96" s="16">
        <f t="shared" si="22"/>
        <v>0</v>
      </c>
      <c r="M96" s="26">
        <f t="shared" si="19"/>
        <v>0</v>
      </c>
      <c r="N96" s="26">
        <f t="shared" si="23"/>
        <v>0</v>
      </c>
      <c r="O96" s="16">
        <f t="shared" si="24"/>
        <v>0</v>
      </c>
      <c r="P96" s="16">
        <f t="shared" si="25"/>
        <v>0</v>
      </c>
      <c r="Q96" s="26">
        <f t="shared" si="26"/>
        <v>0</v>
      </c>
      <c r="R96" s="26">
        <f t="shared" si="27"/>
        <v>0</v>
      </c>
      <c r="S96" s="16">
        <f t="shared" si="28"/>
        <v>0</v>
      </c>
      <c r="T96" s="16">
        <f t="shared" si="29"/>
        <v>0</v>
      </c>
      <c r="U96" s="26">
        <f t="shared" si="30"/>
        <v>0</v>
      </c>
      <c r="V96" s="26">
        <f t="shared" si="31"/>
        <v>0</v>
      </c>
      <c r="W96" s="16">
        <f t="shared" si="32"/>
        <v>0</v>
      </c>
    </row>
    <row r="97" spans="7:23" x14ac:dyDescent="0.25">
      <c r="G97">
        <v>88</v>
      </c>
      <c r="H97" s="21">
        <v>46508</v>
      </c>
      <c r="I97" s="16">
        <f t="shared" si="18"/>
        <v>0</v>
      </c>
      <c r="J97" s="16">
        <f t="shared" si="20"/>
        <v>0</v>
      </c>
      <c r="K97" s="16">
        <f t="shared" si="21"/>
        <v>0</v>
      </c>
      <c r="L97" s="16">
        <f t="shared" si="22"/>
        <v>0</v>
      </c>
      <c r="M97" s="26">
        <f t="shared" si="19"/>
        <v>0</v>
      </c>
      <c r="N97" s="26">
        <f t="shared" si="23"/>
        <v>0</v>
      </c>
      <c r="O97" s="16">
        <f t="shared" si="24"/>
        <v>0</v>
      </c>
      <c r="P97" s="16">
        <f t="shared" si="25"/>
        <v>0</v>
      </c>
      <c r="Q97" s="26">
        <f t="shared" si="26"/>
        <v>0</v>
      </c>
      <c r="R97" s="26">
        <f t="shared" si="27"/>
        <v>0</v>
      </c>
      <c r="S97" s="16">
        <f t="shared" si="28"/>
        <v>0</v>
      </c>
      <c r="T97" s="16">
        <f t="shared" si="29"/>
        <v>0</v>
      </c>
      <c r="U97" s="26">
        <f t="shared" si="30"/>
        <v>0</v>
      </c>
      <c r="V97" s="26">
        <f t="shared" si="31"/>
        <v>0</v>
      </c>
      <c r="W97" s="16">
        <f t="shared" si="32"/>
        <v>0</v>
      </c>
    </row>
    <row r="98" spans="7:23" x14ac:dyDescent="0.25">
      <c r="G98">
        <v>89</v>
      </c>
      <c r="H98" s="21">
        <v>46539</v>
      </c>
      <c r="I98" s="16">
        <f t="shared" si="18"/>
        <v>0</v>
      </c>
      <c r="J98" s="16">
        <f t="shared" si="20"/>
        <v>0</v>
      </c>
      <c r="K98" s="16">
        <f t="shared" si="21"/>
        <v>0</v>
      </c>
      <c r="L98" s="16">
        <f t="shared" si="22"/>
        <v>0</v>
      </c>
      <c r="M98" s="26">
        <f t="shared" si="19"/>
        <v>0</v>
      </c>
      <c r="N98" s="26">
        <f t="shared" si="23"/>
        <v>0</v>
      </c>
      <c r="O98" s="16">
        <f t="shared" si="24"/>
        <v>0</v>
      </c>
      <c r="P98" s="16">
        <f t="shared" si="25"/>
        <v>0</v>
      </c>
      <c r="Q98" s="26">
        <f t="shared" si="26"/>
        <v>0</v>
      </c>
      <c r="R98" s="26">
        <f t="shared" si="27"/>
        <v>0</v>
      </c>
      <c r="S98" s="16">
        <f t="shared" si="28"/>
        <v>0</v>
      </c>
      <c r="T98" s="16">
        <f t="shared" si="29"/>
        <v>0</v>
      </c>
      <c r="U98" s="26">
        <f t="shared" si="30"/>
        <v>0</v>
      </c>
      <c r="V98" s="26">
        <f t="shared" si="31"/>
        <v>0</v>
      </c>
      <c r="W98" s="16">
        <f t="shared" si="32"/>
        <v>0</v>
      </c>
    </row>
    <row r="99" spans="7:23" x14ac:dyDescent="0.25">
      <c r="G99">
        <v>90</v>
      </c>
      <c r="H99" s="21">
        <v>46569</v>
      </c>
      <c r="I99" s="16">
        <f t="shared" si="18"/>
        <v>0</v>
      </c>
      <c r="J99" s="16">
        <f t="shared" si="20"/>
        <v>0</v>
      </c>
      <c r="K99" s="16">
        <f t="shared" si="21"/>
        <v>0</v>
      </c>
      <c r="L99" s="16">
        <f t="shared" si="22"/>
        <v>0</v>
      </c>
      <c r="M99" s="26">
        <f t="shared" si="19"/>
        <v>0</v>
      </c>
      <c r="N99" s="26">
        <f t="shared" si="23"/>
        <v>0</v>
      </c>
      <c r="O99" s="16">
        <f t="shared" si="24"/>
        <v>0</v>
      </c>
      <c r="P99" s="16">
        <f t="shared" si="25"/>
        <v>0</v>
      </c>
      <c r="Q99" s="26">
        <f t="shared" si="26"/>
        <v>0</v>
      </c>
      <c r="R99" s="26">
        <f t="shared" si="27"/>
        <v>0</v>
      </c>
      <c r="S99" s="16">
        <f t="shared" si="28"/>
        <v>0</v>
      </c>
      <c r="T99" s="16">
        <f t="shared" si="29"/>
        <v>0</v>
      </c>
      <c r="U99" s="26">
        <f t="shared" si="30"/>
        <v>0</v>
      </c>
      <c r="V99" s="26">
        <f t="shared" si="31"/>
        <v>0</v>
      </c>
      <c r="W99" s="16">
        <f t="shared" si="32"/>
        <v>0</v>
      </c>
    </row>
    <row r="100" spans="7:23" x14ac:dyDescent="0.25">
      <c r="G100">
        <v>91</v>
      </c>
      <c r="H100" s="21">
        <v>46600</v>
      </c>
      <c r="I100" s="16">
        <f t="shared" si="18"/>
        <v>0</v>
      </c>
      <c r="J100" s="16">
        <f t="shared" si="20"/>
        <v>0</v>
      </c>
      <c r="K100" s="16">
        <f t="shared" si="21"/>
        <v>0</v>
      </c>
      <c r="L100" s="16">
        <f t="shared" si="22"/>
        <v>0</v>
      </c>
      <c r="M100" s="26">
        <f t="shared" si="19"/>
        <v>0</v>
      </c>
      <c r="N100" s="26">
        <f t="shared" si="23"/>
        <v>0</v>
      </c>
      <c r="O100" s="16">
        <f t="shared" si="24"/>
        <v>0</v>
      </c>
      <c r="P100" s="16">
        <f t="shared" si="25"/>
        <v>0</v>
      </c>
      <c r="Q100" s="26">
        <f t="shared" si="26"/>
        <v>0</v>
      </c>
      <c r="R100" s="26">
        <f t="shared" si="27"/>
        <v>0</v>
      </c>
      <c r="S100" s="16">
        <f t="shared" si="28"/>
        <v>0</v>
      </c>
      <c r="T100" s="16">
        <f t="shared" si="29"/>
        <v>0</v>
      </c>
      <c r="U100" s="26">
        <f t="shared" si="30"/>
        <v>0</v>
      </c>
      <c r="V100" s="26">
        <f t="shared" si="31"/>
        <v>0</v>
      </c>
      <c r="W100" s="16">
        <f t="shared" si="32"/>
        <v>0</v>
      </c>
    </row>
    <row r="101" spans="7:23" x14ac:dyDescent="0.25">
      <c r="G101">
        <v>92</v>
      </c>
      <c r="H101" s="21">
        <v>46631</v>
      </c>
      <c r="I101" s="16">
        <f t="shared" si="18"/>
        <v>0</v>
      </c>
      <c r="J101" s="16">
        <f t="shared" si="20"/>
        <v>0</v>
      </c>
      <c r="K101" s="16">
        <f t="shared" si="21"/>
        <v>0</v>
      </c>
      <c r="L101" s="16">
        <f t="shared" si="22"/>
        <v>0</v>
      </c>
      <c r="M101" s="26">
        <f t="shared" si="19"/>
        <v>0</v>
      </c>
      <c r="N101" s="26">
        <f t="shared" si="23"/>
        <v>0</v>
      </c>
      <c r="O101" s="16">
        <f t="shared" si="24"/>
        <v>0</v>
      </c>
      <c r="P101" s="16">
        <f t="shared" si="25"/>
        <v>0</v>
      </c>
      <c r="Q101" s="26">
        <f t="shared" si="26"/>
        <v>0</v>
      </c>
      <c r="R101" s="26">
        <f t="shared" si="27"/>
        <v>0</v>
      </c>
      <c r="S101" s="16">
        <f t="shared" si="28"/>
        <v>0</v>
      </c>
      <c r="T101" s="16">
        <f t="shared" si="29"/>
        <v>0</v>
      </c>
      <c r="U101" s="26">
        <f t="shared" si="30"/>
        <v>0</v>
      </c>
      <c r="V101" s="26">
        <f t="shared" si="31"/>
        <v>0</v>
      </c>
      <c r="W101" s="16">
        <f t="shared" si="32"/>
        <v>0</v>
      </c>
    </row>
    <row r="102" spans="7:23" x14ac:dyDescent="0.25">
      <c r="G102">
        <v>93</v>
      </c>
      <c r="H102" s="21">
        <v>46661</v>
      </c>
      <c r="I102" s="16">
        <f t="shared" si="18"/>
        <v>0</v>
      </c>
      <c r="J102" s="16">
        <f t="shared" si="20"/>
        <v>0</v>
      </c>
      <c r="K102" s="16">
        <f t="shared" si="21"/>
        <v>0</v>
      </c>
      <c r="L102" s="16">
        <f t="shared" si="22"/>
        <v>0</v>
      </c>
      <c r="M102" s="26">
        <f t="shared" si="19"/>
        <v>0</v>
      </c>
      <c r="N102" s="26">
        <f t="shared" si="23"/>
        <v>0</v>
      </c>
      <c r="O102" s="16">
        <f t="shared" si="24"/>
        <v>0</v>
      </c>
      <c r="P102" s="16">
        <f t="shared" si="25"/>
        <v>0</v>
      </c>
      <c r="Q102" s="26">
        <f t="shared" si="26"/>
        <v>0</v>
      </c>
      <c r="R102" s="26">
        <f t="shared" si="27"/>
        <v>0</v>
      </c>
      <c r="S102" s="16">
        <f t="shared" si="28"/>
        <v>0</v>
      </c>
      <c r="T102" s="16">
        <f t="shared" si="29"/>
        <v>0</v>
      </c>
      <c r="U102" s="26">
        <f t="shared" si="30"/>
        <v>0</v>
      </c>
      <c r="V102" s="26">
        <f t="shared" si="31"/>
        <v>0</v>
      </c>
      <c r="W102" s="16">
        <f t="shared" si="32"/>
        <v>0</v>
      </c>
    </row>
    <row r="103" spans="7:23" x14ac:dyDescent="0.25">
      <c r="G103">
        <v>94</v>
      </c>
      <c r="H103" s="21">
        <v>46692</v>
      </c>
      <c r="I103" s="16">
        <f t="shared" si="18"/>
        <v>0</v>
      </c>
      <c r="J103" s="16">
        <f t="shared" si="20"/>
        <v>0</v>
      </c>
      <c r="K103" s="16">
        <f t="shared" si="21"/>
        <v>0</v>
      </c>
      <c r="L103" s="16">
        <f t="shared" si="22"/>
        <v>0</v>
      </c>
      <c r="M103" s="26">
        <f t="shared" si="19"/>
        <v>0</v>
      </c>
      <c r="N103" s="26">
        <f t="shared" si="23"/>
        <v>0</v>
      </c>
      <c r="O103" s="16">
        <f t="shared" si="24"/>
        <v>0</v>
      </c>
      <c r="P103" s="16">
        <f t="shared" si="25"/>
        <v>0</v>
      </c>
      <c r="Q103" s="26">
        <f t="shared" si="26"/>
        <v>0</v>
      </c>
      <c r="R103" s="26">
        <f t="shared" si="27"/>
        <v>0</v>
      </c>
      <c r="S103" s="16">
        <f t="shared" si="28"/>
        <v>0</v>
      </c>
      <c r="T103" s="16">
        <f t="shared" si="29"/>
        <v>0</v>
      </c>
      <c r="U103" s="26">
        <f t="shared" si="30"/>
        <v>0</v>
      </c>
      <c r="V103" s="26">
        <f t="shared" si="31"/>
        <v>0</v>
      </c>
      <c r="W103" s="16">
        <f t="shared" si="32"/>
        <v>0</v>
      </c>
    </row>
    <row r="104" spans="7:23" x14ac:dyDescent="0.25">
      <c r="G104">
        <v>95</v>
      </c>
      <c r="H104" s="21">
        <v>46722</v>
      </c>
      <c r="I104" s="16">
        <f t="shared" si="18"/>
        <v>0</v>
      </c>
      <c r="J104" s="16">
        <f t="shared" si="20"/>
        <v>0</v>
      </c>
      <c r="K104" s="16">
        <f t="shared" si="21"/>
        <v>0</v>
      </c>
      <c r="L104" s="16">
        <f t="shared" si="22"/>
        <v>0</v>
      </c>
      <c r="M104" s="26">
        <f t="shared" si="19"/>
        <v>0</v>
      </c>
      <c r="N104" s="26">
        <f t="shared" si="23"/>
        <v>0</v>
      </c>
      <c r="O104" s="16">
        <f t="shared" si="24"/>
        <v>0</v>
      </c>
      <c r="P104" s="16">
        <f t="shared" si="25"/>
        <v>0</v>
      </c>
      <c r="Q104" s="26">
        <f t="shared" si="26"/>
        <v>0</v>
      </c>
      <c r="R104" s="26">
        <f t="shared" si="27"/>
        <v>0</v>
      </c>
      <c r="S104" s="16">
        <f t="shared" si="28"/>
        <v>0</v>
      </c>
      <c r="T104" s="16">
        <f t="shared" si="29"/>
        <v>0</v>
      </c>
      <c r="U104" s="26">
        <f t="shared" si="30"/>
        <v>0</v>
      </c>
      <c r="V104" s="26">
        <f t="shared" si="31"/>
        <v>0</v>
      </c>
      <c r="W104" s="16">
        <f t="shared" si="32"/>
        <v>0</v>
      </c>
    </row>
    <row r="105" spans="7:23" x14ac:dyDescent="0.25">
      <c r="G105">
        <v>96</v>
      </c>
      <c r="H105" s="21">
        <v>46753</v>
      </c>
      <c r="I105" s="16">
        <f t="shared" si="18"/>
        <v>0</v>
      </c>
      <c r="J105" s="16">
        <f t="shared" si="20"/>
        <v>0</v>
      </c>
      <c r="K105" s="16">
        <f t="shared" si="21"/>
        <v>0</v>
      </c>
      <c r="L105" s="16">
        <f t="shared" si="22"/>
        <v>0</v>
      </c>
      <c r="M105" s="26">
        <f t="shared" si="19"/>
        <v>0</v>
      </c>
      <c r="N105" s="26">
        <f t="shared" si="23"/>
        <v>0</v>
      </c>
      <c r="O105" s="16">
        <f t="shared" si="24"/>
        <v>0</v>
      </c>
      <c r="P105" s="16">
        <f t="shared" si="25"/>
        <v>0</v>
      </c>
      <c r="Q105" s="26">
        <f t="shared" si="26"/>
        <v>0</v>
      </c>
      <c r="R105" s="26">
        <f t="shared" si="27"/>
        <v>0</v>
      </c>
      <c r="S105" s="16">
        <f t="shared" si="28"/>
        <v>0</v>
      </c>
      <c r="T105" s="16">
        <f t="shared" si="29"/>
        <v>0</v>
      </c>
      <c r="U105" s="26">
        <f t="shared" si="30"/>
        <v>0</v>
      </c>
      <c r="V105" s="26">
        <f t="shared" si="31"/>
        <v>0</v>
      </c>
      <c r="W105" s="16">
        <f t="shared" si="32"/>
        <v>0</v>
      </c>
    </row>
    <row r="106" spans="7:23" x14ac:dyDescent="0.25">
      <c r="G106">
        <v>97</v>
      </c>
      <c r="H106" s="21">
        <v>46784</v>
      </c>
      <c r="I106" s="16">
        <f t="shared" ref="I106:I137" si="33">IF(G106&lt;=$D$13,$O$7/$D$13/(1+$D$20),0)</f>
        <v>0</v>
      </c>
      <c r="J106" s="16">
        <f t="shared" si="20"/>
        <v>0</v>
      </c>
      <c r="K106" s="16">
        <f t="shared" si="21"/>
        <v>0</v>
      </c>
      <c r="L106" s="16">
        <f t="shared" si="22"/>
        <v>0</v>
      </c>
      <c r="M106" s="26">
        <f t="shared" si="19"/>
        <v>0</v>
      </c>
      <c r="N106" s="26">
        <f t="shared" si="23"/>
        <v>0</v>
      </c>
      <c r="O106" s="16">
        <f t="shared" si="24"/>
        <v>0</v>
      </c>
      <c r="P106" s="16">
        <f t="shared" si="25"/>
        <v>0</v>
      </c>
      <c r="Q106" s="26">
        <f t="shared" si="26"/>
        <v>0</v>
      </c>
      <c r="R106" s="26">
        <f t="shared" si="27"/>
        <v>0</v>
      </c>
      <c r="S106" s="16">
        <f t="shared" si="28"/>
        <v>0</v>
      </c>
      <c r="T106" s="16">
        <f t="shared" si="29"/>
        <v>0</v>
      </c>
      <c r="U106" s="26">
        <f t="shared" si="30"/>
        <v>0</v>
      </c>
      <c r="V106" s="26">
        <f t="shared" si="31"/>
        <v>0</v>
      </c>
      <c r="W106" s="16">
        <f t="shared" si="32"/>
        <v>0</v>
      </c>
    </row>
    <row r="107" spans="7:23" x14ac:dyDescent="0.25">
      <c r="G107">
        <v>98</v>
      </c>
      <c r="H107" s="21">
        <v>46813</v>
      </c>
      <c r="I107" s="16">
        <f t="shared" si="33"/>
        <v>0</v>
      </c>
      <c r="J107" s="16">
        <f t="shared" si="20"/>
        <v>0</v>
      </c>
      <c r="K107" s="16">
        <f t="shared" ref="K107:K138" si="34">IF(G107&lt;=$D$13,O106*$D$16,0)</f>
        <v>0</v>
      </c>
      <c r="L107" s="16">
        <f t="shared" si="22"/>
        <v>0</v>
      </c>
      <c r="M107" s="26">
        <f t="shared" si="19"/>
        <v>0</v>
      </c>
      <c r="N107" s="26">
        <f t="shared" si="23"/>
        <v>0</v>
      </c>
      <c r="O107" s="16">
        <f t="shared" ref="O107:O138" si="35">IF(G107&lt;=$D$13,O106-I107-J107,0)</f>
        <v>0</v>
      </c>
      <c r="P107" s="16">
        <f t="shared" si="25"/>
        <v>0</v>
      </c>
      <c r="Q107" s="26">
        <f t="shared" si="26"/>
        <v>0</v>
      </c>
      <c r="R107" s="26">
        <f t="shared" si="27"/>
        <v>0</v>
      </c>
      <c r="S107" s="16">
        <f t="shared" si="28"/>
        <v>0</v>
      </c>
      <c r="T107" s="16">
        <f t="shared" si="29"/>
        <v>0</v>
      </c>
      <c r="U107" s="26">
        <f t="shared" si="30"/>
        <v>0</v>
      </c>
      <c r="V107" s="26">
        <f t="shared" si="31"/>
        <v>0</v>
      </c>
      <c r="W107" s="16">
        <f t="shared" si="32"/>
        <v>0</v>
      </c>
    </row>
    <row r="108" spans="7:23" x14ac:dyDescent="0.25">
      <c r="G108">
        <v>99</v>
      </c>
      <c r="H108" s="21">
        <v>46844</v>
      </c>
      <c r="I108" s="16">
        <f t="shared" si="33"/>
        <v>0</v>
      </c>
      <c r="J108" s="16">
        <f t="shared" si="20"/>
        <v>0</v>
      </c>
      <c r="K108" s="16">
        <f t="shared" si="34"/>
        <v>0</v>
      </c>
      <c r="L108" s="16">
        <f t="shared" si="22"/>
        <v>0</v>
      </c>
      <c r="M108" s="26">
        <f t="shared" si="19"/>
        <v>0</v>
      </c>
      <c r="N108" s="26">
        <f t="shared" si="23"/>
        <v>0</v>
      </c>
      <c r="O108" s="16">
        <f t="shared" si="35"/>
        <v>0</v>
      </c>
      <c r="P108" s="16">
        <f t="shared" si="25"/>
        <v>0</v>
      </c>
      <c r="Q108" s="26">
        <f t="shared" si="26"/>
        <v>0</v>
      </c>
      <c r="R108" s="26">
        <f t="shared" si="27"/>
        <v>0</v>
      </c>
      <c r="S108" s="16">
        <f t="shared" si="28"/>
        <v>0</v>
      </c>
      <c r="T108" s="16">
        <f t="shared" si="29"/>
        <v>0</v>
      </c>
      <c r="U108" s="26">
        <f t="shared" si="30"/>
        <v>0</v>
      </c>
      <c r="V108" s="26">
        <f t="shared" si="31"/>
        <v>0</v>
      </c>
      <c r="W108" s="16">
        <f t="shared" si="32"/>
        <v>0</v>
      </c>
    </row>
    <row r="109" spans="7:23" x14ac:dyDescent="0.25">
      <c r="G109">
        <v>100</v>
      </c>
      <c r="H109" s="21">
        <v>46874</v>
      </c>
      <c r="I109" s="16">
        <f t="shared" si="33"/>
        <v>0</v>
      </c>
      <c r="J109" s="16">
        <f t="shared" si="20"/>
        <v>0</v>
      </c>
      <c r="K109" s="16">
        <f t="shared" si="34"/>
        <v>0</v>
      </c>
      <c r="L109" s="16">
        <f t="shared" si="22"/>
        <v>0</v>
      </c>
      <c r="M109" s="26">
        <f t="shared" si="19"/>
        <v>0</v>
      </c>
      <c r="N109" s="26">
        <f t="shared" si="23"/>
        <v>0</v>
      </c>
      <c r="O109" s="16">
        <f t="shared" si="35"/>
        <v>0</v>
      </c>
      <c r="P109" s="16">
        <f t="shared" si="25"/>
        <v>0</v>
      </c>
      <c r="Q109" s="26">
        <f t="shared" si="26"/>
        <v>0</v>
      </c>
      <c r="R109" s="26">
        <f t="shared" si="27"/>
        <v>0</v>
      </c>
      <c r="S109" s="16">
        <f t="shared" si="28"/>
        <v>0</v>
      </c>
      <c r="T109" s="16">
        <f t="shared" si="29"/>
        <v>0</v>
      </c>
      <c r="U109" s="26">
        <f t="shared" si="30"/>
        <v>0</v>
      </c>
      <c r="V109" s="26">
        <f t="shared" si="31"/>
        <v>0</v>
      </c>
      <c r="W109" s="16">
        <f t="shared" si="32"/>
        <v>0</v>
      </c>
    </row>
    <row r="110" spans="7:23" x14ac:dyDescent="0.25">
      <c r="G110">
        <v>101</v>
      </c>
      <c r="H110" s="21">
        <v>46905</v>
      </c>
      <c r="I110" s="16">
        <f t="shared" si="33"/>
        <v>0</v>
      </c>
      <c r="J110" s="16">
        <f t="shared" si="20"/>
        <v>0</v>
      </c>
      <c r="K110" s="16">
        <f t="shared" si="34"/>
        <v>0</v>
      </c>
      <c r="L110" s="16">
        <f t="shared" si="22"/>
        <v>0</v>
      </c>
      <c r="M110" s="26">
        <f t="shared" si="19"/>
        <v>0</v>
      </c>
      <c r="N110" s="26">
        <f t="shared" si="23"/>
        <v>0</v>
      </c>
      <c r="O110" s="16">
        <f t="shared" si="35"/>
        <v>0</v>
      </c>
      <c r="P110" s="16">
        <f t="shared" si="25"/>
        <v>0</v>
      </c>
      <c r="Q110" s="26">
        <f t="shared" si="26"/>
        <v>0</v>
      </c>
      <c r="R110" s="26">
        <f t="shared" si="27"/>
        <v>0</v>
      </c>
      <c r="S110" s="16">
        <f t="shared" si="28"/>
        <v>0</v>
      </c>
      <c r="T110" s="16">
        <f t="shared" si="29"/>
        <v>0</v>
      </c>
      <c r="U110" s="26">
        <f t="shared" si="30"/>
        <v>0</v>
      </c>
      <c r="V110" s="26">
        <f t="shared" si="31"/>
        <v>0</v>
      </c>
      <c r="W110" s="16">
        <f t="shared" si="32"/>
        <v>0</v>
      </c>
    </row>
    <row r="111" spans="7:23" x14ac:dyDescent="0.25">
      <c r="G111">
        <v>102</v>
      </c>
      <c r="H111" s="21">
        <v>46935</v>
      </c>
      <c r="I111" s="16">
        <f t="shared" si="33"/>
        <v>0</v>
      </c>
      <c r="J111" s="16">
        <f t="shared" si="20"/>
        <v>0</v>
      </c>
      <c r="K111" s="16">
        <f t="shared" si="34"/>
        <v>0</v>
      </c>
      <c r="L111" s="16">
        <f t="shared" si="22"/>
        <v>0</v>
      </c>
      <c r="M111" s="26">
        <f t="shared" si="19"/>
        <v>0</v>
      </c>
      <c r="N111" s="26">
        <f t="shared" si="23"/>
        <v>0</v>
      </c>
      <c r="O111" s="16">
        <f t="shared" si="35"/>
        <v>0</v>
      </c>
      <c r="P111" s="16">
        <f t="shared" si="25"/>
        <v>0</v>
      </c>
      <c r="Q111" s="26">
        <f t="shared" si="26"/>
        <v>0</v>
      </c>
      <c r="R111" s="26">
        <f t="shared" si="27"/>
        <v>0</v>
      </c>
      <c r="S111" s="16">
        <f t="shared" si="28"/>
        <v>0</v>
      </c>
      <c r="T111" s="16">
        <f t="shared" si="29"/>
        <v>0</v>
      </c>
      <c r="U111" s="26">
        <f t="shared" si="30"/>
        <v>0</v>
      </c>
      <c r="V111" s="26">
        <f t="shared" si="31"/>
        <v>0</v>
      </c>
      <c r="W111" s="16">
        <f t="shared" si="32"/>
        <v>0</v>
      </c>
    </row>
    <row r="112" spans="7:23" x14ac:dyDescent="0.25">
      <c r="G112">
        <v>103</v>
      </c>
      <c r="H112" s="21">
        <v>46966</v>
      </c>
      <c r="I112" s="16">
        <f t="shared" si="33"/>
        <v>0</v>
      </c>
      <c r="J112" s="16">
        <f t="shared" si="20"/>
        <v>0</v>
      </c>
      <c r="K112" s="16">
        <f t="shared" si="34"/>
        <v>0</v>
      </c>
      <c r="L112" s="16">
        <f t="shared" si="22"/>
        <v>0</v>
      </c>
      <c r="M112" s="26">
        <f t="shared" si="19"/>
        <v>0</v>
      </c>
      <c r="N112" s="26">
        <f t="shared" si="23"/>
        <v>0</v>
      </c>
      <c r="O112" s="16">
        <f t="shared" si="35"/>
        <v>0</v>
      </c>
      <c r="P112" s="16">
        <f t="shared" si="25"/>
        <v>0</v>
      </c>
      <c r="Q112" s="26">
        <f t="shared" si="26"/>
        <v>0</v>
      </c>
      <c r="R112" s="26">
        <f t="shared" si="27"/>
        <v>0</v>
      </c>
      <c r="S112" s="16">
        <f t="shared" si="28"/>
        <v>0</v>
      </c>
      <c r="T112" s="16">
        <f t="shared" si="29"/>
        <v>0</v>
      </c>
      <c r="U112" s="26">
        <f t="shared" si="30"/>
        <v>0</v>
      </c>
      <c r="V112" s="26">
        <f t="shared" si="31"/>
        <v>0</v>
      </c>
      <c r="W112" s="16">
        <f t="shared" si="32"/>
        <v>0</v>
      </c>
    </row>
    <row r="113" spans="7:23" x14ac:dyDescent="0.25">
      <c r="G113">
        <v>104</v>
      </c>
      <c r="H113" s="21">
        <v>46997</v>
      </c>
      <c r="I113" s="16">
        <f t="shared" si="33"/>
        <v>0</v>
      </c>
      <c r="J113" s="16">
        <f t="shared" si="20"/>
        <v>0</v>
      </c>
      <c r="K113" s="16">
        <f t="shared" si="34"/>
        <v>0</v>
      </c>
      <c r="L113" s="16">
        <f t="shared" si="22"/>
        <v>0</v>
      </c>
      <c r="M113" s="26">
        <f t="shared" si="19"/>
        <v>0</v>
      </c>
      <c r="N113" s="26">
        <f t="shared" si="23"/>
        <v>0</v>
      </c>
      <c r="O113" s="16">
        <f t="shared" si="35"/>
        <v>0</v>
      </c>
      <c r="P113" s="16">
        <f t="shared" si="25"/>
        <v>0</v>
      </c>
      <c r="Q113" s="26">
        <f t="shared" si="26"/>
        <v>0</v>
      </c>
      <c r="R113" s="26">
        <f t="shared" si="27"/>
        <v>0</v>
      </c>
      <c r="S113" s="16">
        <f t="shared" si="28"/>
        <v>0</v>
      </c>
      <c r="T113" s="16">
        <f t="shared" si="29"/>
        <v>0</v>
      </c>
      <c r="U113" s="26">
        <f t="shared" si="30"/>
        <v>0</v>
      </c>
      <c r="V113" s="26">
        <f t="shared" si="31"/>
        <v>0</v>
      </c>
      <c r="W113" s="16">
        <f t="shared" si="32"/>
        <v>0</v>
      </c>
    </row>
    <row r="114" spans="7:23" x14ac:dyDescent="0.25">
      <c r="G114">
        <v>105</v>
      </c>
      <c r="H114" s="21">
        <v>47027</v>
      </c>
      <c r="I114" s="16">
        <f t="shared" si="33"/>
        <v>0</v>
      </c>
      <c r="J114" s="16">
        <f t="shared" si="20"/>
        <v>0</v>
      </c>
      <c r="K114" s="16">
        <f t="shared" si="34"/>
        <v>0</v>
      </c>
      <c r="L114" s="16">
        <f t="shared" si="22"/>
        <v>0</v>
      </c>
      <c r="M114" s="26">
        <f t="shared" si="19"/>
        <v>0</v>
      </c>
      <c r="N114" s="26">
        <f t="shared" si="23"/>
        <v>0</v>
      </c>
      <c r="O114" s="16">
        <f t="shared" si="35"/>
        <v>0</v>
      </c>
      <c r="P114" s="16">
        <f t="shared" si="25"/>
        <v>0</v>
      </c>
      <c r="Q114" s="26">
        <f t="shared" si="26"/>
        <v>0</v>
      </c>
      <c r="R114" s="26">
        <f t="shared" si="27"/>
        <v>0</v>
      </c>
      <c r="S114" s="16">
        <f t="shared" si="28"/>
        <v>0</v>
      </c>
      <c r="T114" s="16">
        <f t="shared" si="29"/>
        <v>0</v>
      </c>
      <c r="U114" s="26">
        <f t="shared" si="30"/>
        <v>0</v>
      </c>
      <c r="V114" s="26">
        <f t="shared" si="31"/>
        <v>0</v>
      </c>
      <c r="W114" s="16">
        <f t="shared" si="32"/>
        <v>0</v>
      </c>
    </row>
    <row r="115" spans="7:23" x14ac:dyDescent="0.25">
      <c r="G115">
        <v>106</v>
      </c>
      <c r="H115" s="21">
        <v>47058</v>
      </c>
      <c r="I115" s="16">
        <f t="shared" si="33"/>
        <v>0</v>
      </c>
      <c r="J115" s="16">
        <f t="shared" si="20"/>
        <v>0</v>
      </c>
      <c r="K115" s="16">
        <f t="shared" si="34"/>
        <v>0</v>
      </c>
      <c r="L115" s="16">
        <f t="shared" si="22"/>
        <v>0</v>
      </c>
      <c r="M115" s="26">
        <f t="shared" si="19"/>
        <v>0</v>
      </c>
      <c r="N115" s="26">
        <f t="shared" si="23"/>
        <v>0</v>
      </c>
      <c r="O115" s="16">
        <f t="shared" si="35"/>
        <v>0</v>
      </c>
      <c r="P115" s="16">
        <f t="shared" si="25"/>
        <v>0</v>
      </c>
      <c r="Q115" s="26">
        <f t="shared" si="26"/>
        <v>0</v>
      </c>
      <c r="R115" s="26">
        <f t="shared" si="27"/>
        <v>0</v>
      </c>
      <c r="S115" s="16">
        <f t="shared" si="28"/>
        <v>0</v>
      </c>
      <c r="T115" s="16">
        <f t="shared" si="29"/>
        <v>0</v>
      </c>
      <c r="U115" s="26">
        <f t="shared" si="30"/>
        <v>0</v>
      </c>
      <c r="V115" s="26">
        <f t="shared" si="31"/>
        <v>0</v>
      </c>
      <c r="W115" s="16">
        <f t="shared" si="32"/>
        <v>0</v>
      </c>
    </row>
    <row r="116" spans="7:23" x14ac:dyDescent="0.25">
      <c r="G116">
        <v>107</v>
      </c>
      <c r="H116" s="21">
        <v>47088</v>
      </c>
      <c r="I116" s="16">
        <f t="shared" si="33"/>
        <v>0</v>
      </c>
      <c r="J116" s="16">
        <f t="shared" si="20"/>
        <v>0</v>
      </c>
      <c r="K116" s="16">
        <f t="shared" si="34"/>
        <v>0</v>
      </c>
      <c r="L116" s="16">
        <f t="shared" si="22"/>
        <v>0</v>
      </c>
      <c r="M116" s="26">
        <f t="shared" si="19"/>
        <v>0</v>
      </c>
      <c r="N116" s="26">
        <f t="shared" si="23"/>
        <v>0</v>
      </c>
      <c r="O116" s="16">
        <f t="shared" si="35"/>
        <v>0</v>
      </c>
      <c r="P116" s="16">
        <f t="shared" si="25"/>
        <v>0</v>
      </c>
      <c r="Q116" s="26">
        <f t="shared" si="26"/>
        <v>0</v>
      </c>
      <c r="R116" s="26">
        <f t="shared" si="27"/>
        <v>0</v>
      </c>
      <c r="S116" s="16">
        <f t="shared" si="28"/>
        <v>0</v>
      </c>
      <c r="T116" s="16">
        <f t="shared" si="29"/>
        <v>0</v>
      </c>
      <c r="U116" s="26">
        <f t="shared" si="30"/>
        <v>0</v>
      </c>
      <c r="V116" s="26">
        <f t="shared" si="31"/>
        <v>0</v>
      </c>
      <c r="W116" s="16">
        <f t="shared" si="32"/>
        <v>0</v>
      </c>
    </row>
    <row r="117" spans="7:23" x14ac:dyDescent="0.25">
      <c r="G117">
        <v>108</v>
      </c>
      <c r="H117" s="21">
        <v>47119</v>
      </c>
      <c r="I117" s="16">
        <f t="shared" si="33"/>
        <v>0</v>
      </c>
      <c r="J117" s="16">
        <f t="shared" si="20"/>
        <v>0</v>
      </c>
      <c r="K117" s="16">
        <f t="shared" si="34"/>
        <v>0</v>
      </c>
      <c r="L117" s="16">
        <f t="shared" si="22"/>
        <v>0</v>
      </c>
      <c r="M117" s="26">
        <f t="shared" si="19"/>
        <v>0</v>
      </c>
      <c r="N117" s="26">
        <f t="shared" si="23"/>
        <v>0</v>
      </c>
      <c r="O117" s="16">
        <f t="shared" si="35"/>
        <v>0</v>
      </c>
      <c r="P117" s="16">
        <f t="shared" si="25"/>
        <v>0</v>
      </c>
      <c r="Q117" s="26">
        <f t="shared" si="26"/>
        <v>0</v>
      </c>
      <c r="R117" s="26">
        <f t="shared" si="27"/>
        <v>0</v>
      </c>
      <c r="S117" s="16">
        <f t="shared" si="28"/>
        <v>0</v>
      </c>
      <c r="T117" s="16">
        <f t="shared" si="29"/>
        <v>0</v>
      </c>
      <c r="U117" s="26">
        <f t="shared" si="30"/>
        <v>0</v>
      </c>
      <c r="V117" s="26">
        <f t="shared" si="31"/>
        <v>0</v>
      </c>
      <c r="W117" s="16">
        <f t="shared" si="32"/>
        <v>0</v>
      </c>
    </row>
    <row r="118" spans="7:23" x14ac:dyDescent="0.25">
      <c r="G118">
        <v>109</v>
      </c>
      <c r="H118" s="21">
        <v>47150</v>
      </c>
      <c r="I118" s="16">
        <f t="shared" si="33"/>
        <v>0</v>
      </c>
      <c r="J118" s="16">
        <f t="shared" si="20"/>
        <v>0</v>
      </c>
      <c r="K118" s="16">
        <f t="shared" si="34"/>
        <v>0</v>
      </c>
      <c r="L118" s="16">
        <f t="shared" si="22"/>
        <v>0</v>
      </c>
      <c r="M118" s="26">
        <f t="shared" si="19"/>
        <v>0</v>
      </c>
      <c r="N118" s="26">
        <f t="shared" si="23"/>
        <v>0</v>
      </c>
      <c r="O118" s="16">
        <f t="shared" si="35"/>
        <v>0</v>
      </c>
      <c r="P118" s="16">
        <f t="shared" si="25"/>
        <v>0</v>
      </c>
      <c r="Q118" s="26">
        <f t="shared" si="26"/>
        <v>0</v>
      </c>
      <c r="R118" s="26">
        <f t="shared" si="27"/>
        <v>0</v>
      </c>
      <c r="S118" s="16">
        <f t="shared" si="28"/>
        <v>0</v>
      </c>
      <c r="T118" s="16">
        <f t="shared" si="29"/>
        <v>0</v>
      </c>
      <c r="U118" s="26">
        <f t="shared" si="30"/>
        <v>0</v>
      </c>
      <c r="V118" s="26">
        <f t="shared" si="31"/>
        <v>0</v>
      </c>
      <c r="W118" s="16">
        <f t="shared" si="32"/>
        <v>0</v>
      </c>
    </row>
    <row r="119" spans="7:23" x14ac:dyDescent="0.25">
      <c r="G119">
        <v>110</v>
      </c>
      <c r="H119" s="21">
        <v>47178</v>
      </c>
      <c r="I119" s="16">
        <f t="shared" si="33"/>
        <v>0</v>
      </c>
      <c r="J119" s="16">
        <f t="shared" si="20"/>
        <v>0</v>
      </c>
      <c r="K119" s="16">
        <f t="shared" si="34"/>
        <v>0</v>
      </c>
      <c r="L119" s="16">
        <f t="shared" si="22"/>
        <v>0</v>
      </c>
      <c r="M119" s="26">
        <f t="shared" si="19"/>
        <v>0</v>
      </c>
      <c r="N119" s="26">
        <f t="shared" si="23"/>
        <v>0</v>
      </c>
      <c r="O119" s="16">
        <f t="shared" si="35"/>
        <v>0</v>
      </c>
      <c r="P119" s="16">
        <f t="shared" si="25"/>
        <v>0</v>
      </c>
      <c r="Q119" s="26">
        <f t="shared" si="26"/>
        <v>0</v>
      </c>
      <c r="R119" s="26">
        <f t="shared" si="27"/>
        <v>0</v>
      </c>
      <c r="S119" s="16">
        <f t="shared" si="28"/>
        <v>0</v>
      </c>
      <c r="T119" s="16">
        <f t="shared" si="29"/>
        <v>0</v>
      </c>
      <c r="U119" s="26">
        <f t="shared" si="30"/>
        <v>0</v>
      </c>
      <c r="V119" s="26">
        <f t="shared" si="31"/>
        <v>0</v>
      </c>
      <c r="W119" s="16">
        <f t="shared" si="32"/>
        <v>0</v>
      </c>
    </row>
    <row r="120" spans="7:23" x14ac:dyDescent="0.25">
      <c r="G120">
        <v>111</v>
      </c>
      <c r="H120" s="21">
        <v>47209</v>
      </c>
      <c r="I120" s="16">
        <f t="shared" si="33"/>
        <v>0</v>
      </c>
      <c r="J120" s="16">
        <f t="shared" si="20"/>
        <v>0</v>
      </c>
      <c r="K120" s="16">
        <f t="shared" si="34"/>
        <v>0</v>
      </c>
      <c r="L120" s="16">
        <f t="shared" si="22"/>
        <v>0</v>
      </c>
      <c r="M120" s="26">
        <f t="shared" si="19"/>
        <v>0</v>
      </c>
      <c r="N120" s="26">
        <f t="shared" si="23"/>
        <v>0</v>
      </c>
      <c r="O120" s="16">
        <f t="shared" si="35"/>
        <v>0</v>
      </c>
      <c r="P120" s="16">
        <f t="shared" si="25"/>
        <v>0</v>
      </c>
      <c r="Q120" s="26">
        <f t="shared" si="26"/>
        <v>0</v>
      </c>
      <c r="R120" s="26">
        <f t="shared" si="27"/>
        <v>0</v>
      </c>
      <c r="S120" s="16">
        <f t="shared" si="28"/>
        <v>0</v>
      </c>
      <c r="T120" s="16">
        <f t="shared" si="29"/>
        <v>0</v>
      </c>
      <c r="U120" s="26">
        <f t="shared" si="30"/>
        <v>0</v>
      </c>
      <c r="V120" s="26">
        <f t="shared" si="31"/>
        <v>0</v>
      </c>
      <c r="W120" s="16">
        <f t="shared" si="32"/>
        <v>0</v>
      </c>
    </row>
    <row r="121" spans="7:23" x14ac:dyDescent="0.25">
      <c r="G121">
        <v>112</v>
      </c>
      <c r="H121" s="21">
        <v>47239</v>
      </c>
      <c r="I121" s="16">
        <f t="shared" si="33"/>
        <v>0</v>
      </c>
      <c r="J121" s="16">
        <f t="shared" si="20"/>
        <v>0</v>
      </c>
      <c r="K121" s="16">
        <f t="shared" si="34"/>
        <v>0</v>
      </c>
      <c r="L121" s="16">
        <f t="shared" si="22"/>
        <v>0</v>
      </c>
      <c r="M121" s="26">
        <f t="shared" si="19"/>
        <v>0</v>
      </c>
      <c r="N121" s="26">
        <f t="shared" si="23"/>
        <v>0</v>
      </c>
      <c r="O121" s="16">
        <f t="shared" si="35"/>
        <v>0</v>
      </c>
      <c r="P121" s="16">
        <f t="shared" si="25"/>
        <v>0</v>
      </c>
      <c r="Q121" s="26">
        <f t="shared" si="26"/>
        <v>0</v>
      </c>
      <c r="R121" s="26">
        <f t="shared" si="27"/>
        <v>0</v>
      </c>
      <c r="S121" s="16">
        <f t="shared" si="28"/>
        <v>0</v>
      </c>
      <c r="T121" s="16">
        <f t="shared" si="29"/>
        <v>0</v>
      </c>
      <c r="U121" s="26">
        <f t="shared" si="30"/>
        <v>0</v>
      </c>
      <c r="V121" s="26">
        <f t="shared" si="31"/>
        <v>0</v>
      </c>
      <c r="W121" s="16">
        <f t="shared" si="32"/>
        <v>0</v>
      </c>
    </row>
    <row r="122" spans="7:23" x14ac:dyDescent="0.25">
      <c r="G122">
        <v>113</v>
      </c>
      <c r="H122" s="21">
        <v>47270</v>
      </c>
      <c r="I122" s="16">
        <f t="shared" si="33"/>
        <v>0</v>
      </c>
      <c r="J122" s="16">
        <f t="shared" si="20"/>
        <v>0</v>
      </c>
      <c r="K122" s="16">
        <f t="shared" si="34"/>
        <v>0</v>
      </c>
      <c r="L122" s="16">
        <f t="shared" si="22"/>
        <v>0</v>
      </c>
      <c r="M122" s="26">
        <f t="shared" si="19"/>
        <v>0</v>
      </c>
      <c r="N122" s="26">
        <f t="shared" si="23"/>
        <v>0</v>
      </c>
      <c r="O122" s="16">
        <f t="shared" si="35"/>
        <v>0</v>
      </c>
      <c r="P122" s="16">
        <f t="shared" si="25"/>
        <v>0</v>
      </c>
      <c r="Q122" s="26">
        <f t="shared" si="26"/>
        <v>0</v>
      </c>
      <c r="R122" s="26">
        <f t="shared" si="27"/>
        <v>0</v>
      </c>
      <c r="S122" s="16">
        <f t="shared" si="28"/>
        <v>0</v>
      </c>
      <c r="T122" s="16">
        <f t="shared" si="29"/>
        <v>0</v>
      </c>
      <c r="U122" s="26">
        <f t="shared" si="30"/>
        <v>0</v>
      </c>
      <c r="V122" s="26">
        <f t="shared" si="31"/>
        <v>0</v>
      </c>
      <c r="W122" s="16">
        <f t="shared" si="32"/>
        <v>0</v>
      </c>
    </row>
    <row r="123" spans="7:23" x14ac:dyDescent="0.25">
      <c r="G123">
        <v>114</v>
      </c>
      <c r="H123" s="21">
        <v>47300</v>
      </c>
      <c r="I123" s="16">
        <f t="shared" si="33"/>
        <v>0</v>
      </c>
      <c r="J123" s="16">
        <f t="shared" si="20"/>
        <v>0</v>
      </c>
      <c r="K123" s="16">
        <f t="shared" si="34"/>
        <v>0</v>
      </c>
      <c r="L123" s="16">
        <f t="shared" si="22"/>
        <v>0</v>
      </c>
      <c r="M123" s="26">
        <f t="shared" si="19"/>
        <v>0</v>
      </c>
      <c r="N123" s="26">
        <f t="shared" si="23"/>
        <v>0</v>
      </c>
      <c r="O123" s="16">
        <f t="shared" si="35"/>
        <v>0</v>
      </c>
      <c r="P123" s="16">
        <f t="shared" si="25"/>
        <v>0</v>
      </c>
      <c r="Q123" s="26">
        <f t="shared" si="26"/>
        <v>0</v>
      </c>
      <c r="R123" s="26">
        <f t="shared" si="27"/>
        <v>0</v>
      </c>
      <c r="S123" s="16">
        <f t="shared" si="28"/>
        <v>0</v>
      </c>
      <c r="T123" s="16">
        <f t="shared" si="29"/>
        <v>0</v>
      </c>
      <c r="U123" s="26">
        <f t="shared" si="30"/>
        <v>0</v>
      </c>
      <c r="V123" s="26">
        <f t="shared" si="31"/>
        <v>0</v>
      </c>
      <c r="W123" s="16">
        <f t="shared" si="32"/>
        <v>0</v>
      </c>
    </row>
    <row r="124" spans="7:23" x14ac:dyDescent="0.25">
      <c r="G124">
        <v>115</v>
      </c>
      <c r="H124" s="21">
        <v>47331</v>
      </c>
      <c r="I124" s="16">
        <f t="shared" si="33"/>
        <v>0</v>
      </c>
      <c r="J124" s="16">
        <f t="shared" si="20"/>
        <v>0</v>
      </c>
      <c r="K124" s="16">
        <f t="shared" si="34"/>
        <v>0</v>
      </c>
      <c r="L124" s="16">
        <f t="shared" si="22"/>
        <v>0</v>
      </c>
      <c r="M124" s="26">
        <f t="shared" si="19"/>
        <v>0</v>
      </c>
      <c r="N124" s="26">
        <f t="shared" si="23"/>
        <v>0</v>
      </c>
      <c r="O124" s="16">
        <f t="shared" si="35"/>
        <v>0</v>
      </c>
      <c r="P124" s="16">
        <f t="shared" si="25"/>
        <v>0</v>
      </c>
      <c r="Q124" s="26">
        <f t="shared" si="26"/>
        <v>0</v>
      </c>
      <c r="R124" s="26">
        <f t="shared" si="27"/>
        <v>0</v>
      </c>
      <c r="S124" s="16">
        <f t="shared" si="28"/>
        <v>0</v>
      </c>
      <c r="T124" s="16">
        <f t="shared" si="29"/>
        <v>0</v>
      </c>
      <c r="U124" s="26">
        <f t="shared" si="30"/>
        <v>0</v>
      </c>
      <c r="V124" s="26">
        <f t="shared" si="31"/>
        <v>0</v>
      </c>
      <c r="W124" s="16">
        <f t="shared" si="32"/>
        <v>0</v>
      </c>
    </row>
    <row r="125" spans="7:23" x14ac:dyDescent="0.25">
      <c r="G125">
        <v>116</v>
      </c>
      <c r="H125" s="21">
        <v>47362</v>
      </c>
      <c r="I125" s="16">
        <f t="shared" si="33"/>
        <v>0</v>
      </c>
      <c r="J125" s="16">
        <f t="shared" si="20"/>
        <v>0</v>
      </c>
      <c r="K125" s="16">
        <f t="shared" si="34"/>
        <v>0</v>
      </c>
      <c r="L125" s="16">
        <f t="shared" si="22"/>
        <v>0</v>
      </c>
      <c r="M125" s="26">
        <f t="shared" si="19"/>
        <v>0</v>
      </c>
      <c r="N125" s="26">
        <f t="shared" si="23"/>
        <v>0</v>
      </c>
      <c r="O125" s="16">
        <f t="shared" si="35"/>
        <v>0</v>
      </c>
      <c r="P125" s="16">
        <f t="shared" si="25"/>
        <v>0</v>
      </c>
      <c r="Q125" s="26">
        <f t="shared" si="26"/>
        <v>0</v>
      </c>
      <c r="R125" s="26">
        <f t="shared" si="27"/>
        <v>0</v>
      </c>
      <c r="S125" s="16">
        <f t="shared" si="28"/>
        <v>0</v>
      </c>
      <c r="T125" s="16">
        <f t="shared" si="29"/>
        <v>0</v>
      </c>
      <c r="U125" s="26">
        <f t="shared" si="30"/>
        <v>0</v>
      </c>
      <c r="V125" s="26">
        <f t="shared" si="31"/>
        <v>0</v>
      </c>
      <c r="W125" s="16">
        <f t="shared" si="32"/>
        <v>0</v>
      </c>
    </row>
    <row r="126" spans="7:23" x14ac:dyDescent="0.25">
      <c r="G126">
        <v>117</v>
      </c>
      <c r="H126" s="21">
        <v>47392</v>
      </c>
      <c r="I126" s="16">
        <f t="shared" si="33"/>
        <v>0</v>
      </c>
      <c r="J126" s="16">
        <f t="shared" si="20"/>
        <v>0</v>
      </c>
      <c r="K126" s="16">
        <f t="shared" si="34"/>
        <v>0</v>
      </c>
      <c r="L126" s="16">
        <f t="shared" si="22"/>
        <v>0</v>
      </c>
      <c r="M126" s="26">
        <f t="shared" si="19"/>
        <v>0</v>
      </c>
      <c r="N126" s="26">
        <f t="shared" si="23"/>
        <v>0</v>
      </c>
      <c r="O126" s="16">
        <f t="shared" si="35"/>
        <v>0</v>
      </c>
      <c r="P126" s="16">
        <f t="shared" si="25"/>
        <v>0</v>
      </c>
      <c r="Q126" s="26">
        <f t="shared" si="26"/>
        <v>0</v>
      </c>
      <c r="R126" s="26">
        <f t="shared" si="27"/>
        <v>0</v>
      </c>
      <c r="S126" s="16">
        <f t="shared" si="28"/>
        <v>0</v>
      </c>
      <c r="T126" s="16">
        <f t="shared" si="29"/>
        <v>0</v>
      </c>
      <c r="U126" s="26">
        <f t="shared" si="30"/>
        <v>0</v>
      </c>
      <c r="V126" s="26">
        <f t="shared" si="31"/>
        <v>0</v>
      </c>
      <c r="W126" s="16">
        <f t="shared" si="32"/>
        <v>0</v>
      </c>
    </row>
    <row r="127" spans="7:23" x14ac:dyDescent="0.25">
      <c r="G127">
        <v>118</v>
      </c>
      <c r="H127" s="21">
        <v>47423</v>
      </c>
      <c r="I127" s="16">
        <f t="shared" si="33"/>
        <v>0</v>
      </c>
      <c r="J127" s="16">
        <f t="shared" si="20"/>
        <v>0</v>
      </c>
      <c r="K127" s="16">
        <f t="shared" si="34"/>
        <v>0</v>
      </c>
      <c r="L127" s="16">
        <f t="shared" si="22"/>
        <v>0</v>
      </c>
      <c r="M127" s="26">
        <f t="shared" si="19"/>
        <v>0</v>
      </c>
      <c r="N127" s="26">
        <f t="shared" si="23"/>
        <v>0</v>
      </c>
      <c r="O127" s="16">
        <f t="shared" si="35"/>
        <v>0</v>
      </c>
      <c r="P127" s="16">
        <f t="shared" si="25"/>
        <v>0</v>
      </c>
      <c r="Q127" s="26">
        <f t="shared" si="26"/>
        <v>0</v>
      </c>
      <c r="R127" s="26">
        <f t="shared" si="27"/>
        <v>0</v>
      </c>
      <c r="S127" s="16">
        <f t="shared" si="28"/>
        <v>0</v>
      </c>
      <c r="T127" s="16">
        <f t="shared" si="29"/>
        <v>0</v>
      </c>
      <c r="U127" s="26">
        <f t="shared" si="30"/>
        <v>0</v>
      </c>
      <c r="V127" s="26">
        <f t="shared" si="31"/>
        <v>0</v>
      </c>
      <c r="W127" s="16">
        <f t="shared" si="32"/>
        <v>0</v>
      </c>
    </row>
    <row r="128" spans="7:23" x14ac:dyDescent="0.25">
      <c r="G128">
        <v>119</v>
      </c>
      <c r="H128" s="21">
        <v>47453</v>
      </c>
      <c r="I128" s="16">
        <f t="shared" si="33"/>
        <v>0</v>
      </c>
      <c r="J128" s="16">
        <f t="shared" si="20"/>
        <v>0</v>
      </c>
      <c r="K128" s="16">
        <f t="shared" si="34"/>
        <v>0</v>
      </c>
      <c r="L128" s="16">
        <f t="shared" si="22"/>
        <v>0</v>
      </c>
      <c r="M128" s="26">
        <f t="shared" si="19"/>
        <v>0</v>
      </c>
      <c r="N128" s="26">
        <f t="shared" si="23"/>
        <v>0</v>
      </c>
      <c r="O128" s="16">
        <f t="shared" si="35"/>
        <v>0</v>
      </c>
      <c r="P128" s="16">
        <f t="shared" si="25"/>
        <v>0</v>
      </c>
      <c r="Q128" s="26">
        <f t="shared" si="26"/>
        <v>0</v>
      </c>
      <c r="R128" s="26">
        <f t="shared" si="27"/>
        <v>0</v>
      </c>
      <c r="S128" s="16">
        <f t="shared" si="28"/>
        <v>0</v>
      </c>
      <c r="T128" s="16">
        <f t="shared" si="29"/>
        <v>0</v>
      </c>
      <c r="U128" s="26">
        <f t="shared" si="30"/>
        <v>0</v>
      </c>
      <c r="V128" s="26">
        <f t="shared" si="31"/>
        <v>0</v>
      </c>
      <c r="W128" s="16">
        <f t="shared" si="32"/>
        <v>0</v>
      </c>
    </row>
    <row r="129" spans="7:23" x14ac:dyDescent="0.25">
      <c r="G129">
        <v>120</v>
      </c>
      <c r="H129" s="21">
        <v>47484</v>
      </c>
      <c r="I129" s="16">
        <f t="shared" si="33"/>
        <v>0</v>
      </c>
      <c r="J129" s="16">
        <f t="shared" si="20"/>
        <v>0</v>
      </c>
      <c r="K129" s="16">
        <f t="shared" si="34"/>
        <v>0</v>
      </c>
      <c r="L129" s="16">
        <f t="shared" si="22"/>
        <v>0</v>
      </c>
      <c r="M129" s="26">
        <f t="shared" si="19"/>
        <v>0</v>
      </c>
      <c r="N129" s="26">
        <f t="shared" si="23"/>
        <v>0</v>
      </c>
      <c r="O129" s="16">
        <f t="shared" si="35"/>
        <v>0</v>
      </c>
      <c r="P129" s="16">
        <f t="shared" si="25"/>
        <v>0</v>
      </c>
      <c r="Q129" s="26">
        <f t="shared" si="26"/>
        <v>0</v>
      </c>
      <c r="R129" s="26">
        <f t="shared" si="27"/>
        <v>0</v>
      </c>
      <c r="S129" s="16">
        <f t="shared" si="28"/>
        <v>0</v>
      </c>
      <c r="T129" s="16">
        <f t="shared" si="29"/>
        <v>0</v>
      </c>
      <c r="U129" s="26">
        <f t="shared" si="30"/>
        <v>0</v>
      </c>
      <c r="V129" s="26">
        <f t="shared" si="31"/>
        <v>0</v>
      </c>
      <c r="W129" s="16">
        <f t="shared" si="32"/>
        <v>0</v>
      </c>
    </row>
    <row r="130" spans="7:23" x14ac:dyDescent="0.25">
      <c r="G130">
        <v>121</v>
      </c>
      <c r="H130" s="21">
        <v>47515</v>
      </c>
      <c r="I130" s="16">
        <f t="shared" si="33"/>
        <v>0</v>
      </c>
      <c r="J130" s="16">
        <f t="shared" si="20"/>
        <v>0</v>
      </c>
      <c r="K130" s="16">
        <f t="shared" si="34"/>
        <v>0</v>
      </c>
      <c r="L130" s="16">
        <f t="shared" si="22"/>
        <v>0</v>
      </c>
      <c r="M130" s="26">
        <f t="shared" si="19"/>
        <v>0</v>
      </c>
      <c r="N130" s="26">
        <f t="shared" si="23"/>
        <v>0</v>
      </c>
      <c r="O130" s="16">
        <f t="shared" si="35"/>
        <v>0</v>
      </c>
      <c r="P130" s="16">
        <f t="shared" si="25"/>
        <v>0</v>
      </c>
      <c r="Q130" s="26">
        <f t="shared" si="26"/>
        <v>0</v>
      </c>
      <c r="R130" s="26">
        <f t="shared" si="27"/>
        <v>0</v>
      </c>
      <c r="S130" s="16">
        <f t="shared" si="28"/>
        <v>0</v>
      </c>
      <c r="T130" s="16">
        <f t="shared" si="29"/>
        <v>0</v>
      </c>
      <c r="U130" s="26">
        <f t="shared" si="30"/>
        <v>0</v>
      </c>
      <c r="V130" s="26">
        <f t="shared" si="31"/>
        <v>0</v>
      </c>
      <c r="W130" s="16">
        <f t="shared" si="32"/>
        <v>0</v>
      </c>
    </row>
    <row r="131" spans="7:23" x14ac:dyDescent="0.25">
      <c r="G131">
        <v>122</v>
      </c>
      <c r="H131" s="21">
        <v>47543</v>
      </c>
      <c r="I131" s="16">
        <f t="shared" si="33"/>
        <v>0</v>
      </c>
      <c r="J131" s="16">
        <f t="shared" si="20"/>
        <v>0</v>
      </c>
      <c r="K131" s="16">
        <f t="shared" si="34"/>
        <v>0</v>
      </c>
      <c r="L131" s="16">
        <f t="shared" si="22"/>
        <v>0</v>
      </c>
      <c r="M131" s="26">
        <f t="shared" si="19"/>
        <v>0</v>
      </c>
      <c r="N131" s="26">
        <f t="shared" si="23"/>
        <v>0</v>
      </c>
      <c r="O131" s="16">
        <f t="shared" si="35"/>
        <v>0</v>
      </c>
      <c r="P131" s="16">
        <f t="shared" si="25"/>
        <v>0</v>
      </c>
      <c r="Q131" s="26">
        <f t="shared" si="26"/>
        <v>0</v>
      </c>
      <c r="R131" s="26">
        <f t="shared" si="27"/>
        <v>0</v>
      </c>
      <c r="S131" s="16">
        <f t="shared" si="28"/>
        <v>0</v>
      </c>
      <c r="T131" s="16">
        <f t="shared" si="29"/>
        <v>0</v>
      </c>
      <c r="U131" s="26">
        <f t="shared" si="30"/>
        <v>0</v>
      </c>
      <c r="V131" s="26">
        <f t="shared" si="31"/>
        <v>0</v>
      </c>
      <c r="W131" s="16">
        <f t="shared" si="32"/>
        <v>0</v>
      </c>
    </row>
    <row r="132" spans="7:23" x14ac:dyDescent="0.25">
      <c r="G132">
        <v>123</v>
      </c>
      <c r="H132" s="21">
        <v>47574</v>
      </c>
      <c r="I132" s="16">
        <f t="shared" si="33"/>
        <v>0</v>
      </c>
      <c r="J132" s="16">
        <f t="shared" si="20"/>
        <v>0</v>
      </c>
      <c r="K132" s="16">
        <f t="shared" si="34"/>
        <v>0</v>
      </c>
      <c r="L132" s="16">
        <f t="shared" si="22"/>
        <v>0</v>
      </c>
      <c r="M132" s="26">
        <f t="shared" si="19"/>
        <v>0</v>
      </c>
      <c r="N132" s="26">
        <f t="shared" si="23"/>
        <v>0</v>
      </c>
      <c r="O132" s="16">
        <f t="shared" si="35"/>
        <v>0</v>
      </c>
      <c r="P132" s="16">
        <f t="shared" si="25"/>
        <v>0</v>
      </c>
      <c r="Q132" s="26">
        <f t="shared" si="26"/>
        <v>0</v>
      </c>
      <c r="R132" s="26">
        <f t="shared" si="27"/>
        <v>0</v>
      </c>
      <c r="S132" s="16">
        <f t="shared" si="28"/>
        <v>0</v>
      </c>
      <c r="T132" s="16">
        <f t="shared" si="29"/>
        <v>0</v>
      </c>
      <c r="U132" s="26">
        <f t="shared" si="30"/>
        <v>0</v>
      </c>
      <c r="V132" s="26">
        <f t="shared" si="31"/>
        <v>0</v>
      </c>
      <c r="W132" s="16">
        <f t="shared" si="32"/>
        <v>0</v>
      </c>
    </row>
    <row r="133" spans="7:23" x14ac:dyDescent="0.25">
      <c r="G133">
        <v>124</v>
      </c>
      <c r="H133" s="21">
        <v>47604</v>
      </c>
      <c r="I133" s="16">
        <f t="shared" si="33"/>
        <v>0</v>
      </c>
      <c r="J133" s="16">
        <f t="shared" si="20"/>
        <v>0</v>
      </c>
      <c r="K133" s="16">
        <f t="shared" si="34"/>
        <v>0</v>
      </c>
      <c r="L133" s="16">
        <f t="shared" si="22"/>
        <v>0</v>
      </c>
      <c r="M133" s="26">
        <f t="shared" si="19"/>
        <v>0</v>
      </c>
      <c r="N133" s="26">
        <f t="shared" si="23"/>
        <v>0</v>
      </c>
      <c r="O133" s="16">
        <f t="shared" si="35"/>
        <v>0</v>
      </c>
      <c r="P133" s="16">
        <f t="shared" si="25"/>
        <v>0</v>
      </c>
      <c r="Q133" s="26">
        <f t="shared" si="26"/>
        <v>0</v>
      </c>
      <c r="R133" s="26">
        <f t="shared" si="27"/>
        <v>0</v>
      </c>
      <c r="S133" s="16">
        <f t="shared" si="28"/>
        <v>0</v>
      </c>
      <c r="T133" s="16">
        <f t="shared" si="29"/>
        <v>0</v>
      </c>
      <c r="U133" s="26">
        <f t="shared" si="30"/>
        <v>0</v>
      </c>
      <c r="V133" s="26">
        <f t="shared" si="31"/>
        <v>0</v>
      </c>
      <c r="W133" s="16">
        <f t="shared" si="32"/>
        <v>0</v>
      </c>
    </row>
    <row r="134" spans="7:23" x14ac:dyDescent="0.25">
      <c r="G134">
        <v>125</v>
      </c>
      <c r="H134" s="21">
        <v>47635</v>
      </c>
      <c r="I134" s="16">
        <f t="shared" si="33"/>
        <v>0</v>
      </c>
      <c r="J134" s="16">
        <f t="shared" si="20"/>
        <v>0</v>
      </c>
      <c r="K134" s="16">
        <f t="shared" si="34"/>
        <v>0</v>
      </c>
      <c r="L134" s="16">
        <f t="shared" si="22"/>
        <v>0</v>
      </c>
      <c r="M134" s="26">
        <f t="shared" si="19"/>
        <v>0</v>
      </c>
      <c r="N134" s="26">
        <f t="shared" si="23"/>
        <v>0</v>
      </c>
      <c r="O134" s="16">
        <f t="shared" si="35"/>
        <v>0</v>
      </c>
      <c r="P134" s="16">
        <f t="shared" si="25"/>
        <v>0</v>
      </c>
      <c r="Q134" s="26">
        <f t="shared" si="26"/>
        <v>0</v>
      </c>
      <c r="R134" s="26">
        <f t="shared" si="27"/>
        <v>0</v>
      </c>
      <c r="S134" s="16">
        <f t="shared" si="28"/>
        <v>0</v>
      </c>
      <c r="T134" s="16">
        <f t="shared" si="29"/>
        <v>0</v>
      </c>
      <c r="U134" s="26">
        <f t="shared" si="30"/>
        <v>0</v>
      </c>
      <c r="V134" s="26">
        <f t="shared" si="31"/>
        <v>0</v>
      </c>
      <c r="W134" s="16">
        <f t="shared" si="32"/>
        <v>0</v>
      </c>
    </row>
    <row r="135" spans="7:23" x14ac:dyDescent="0.25">
      <c r="G135">
        <v>126</v>
      </c>
      <c r="H135" s="21">
        <v>47665</v>
      </c>
      <c r="I135" s="16">
        <f t="shared" si="33"/>
        <v>0</v>
      </c>
      <c r="J135" s="16">
        <f t="shared" si="20"/>
        <v>0</v>
      </c>
      <c r="K135" s="16">
        <f t="shared" si="34"/>
        <v>0</v>
      </c>
      <c r="L135" s="16">
        <f t="shared" si="22"/>
        <v>0</v>
      </c>
      <c r="M135" s="26">
        <f t="shared" si="19"/>
        <v>0</v>
      </c>
      <c r="N135" s="26">
        <f t="shared" si="23"/>
        <v>0</v>
      </c>
      <c r="O135" s="16">
        <f t="shared" si="35"/>
        <v>0</v>
      </c>
      <c r="P135" s="16">
        <f t="shared" si="25"/>
        <v>0</v>
      </c>
      <c r="Q135" s="26">
        <f t="shared" si="26"/>
        <v>0</v>
      </c>
      <c r="R135" s="26">
        <f t="shared" si="27"/>
        <v>0</v>
      </c>
      <c r="S135" s="16">
        <f t="shared" si="28"/>
        <v>0</v>
      </c>
      <c r="T135" s="16">
        <f t="shared" si="29"/>
        <v>0</v>
      </c>
      <c r="U135" s="26">
        <f t="shared" si="30"/>
        <v>0</v>
      </c>
      <c r="V135" s="26">
        <f t="shared" si="31"/>
        <v>0</v>
      </c>
      <c r="W135" s="16">
        <f t="shared" si="32"/>
        <v>0</v>
      </c>
    </row>
    <row r="136" spans="7:23" x14ac:dyDescent="0.25">
      <c r="G136">
        <v>127</v>
      </c>
      <c r="H136" s="21">
        <v>47696</v>
      </c>
      <c r="I136" s="16">
        <f t="shared" si="33"/>
        <v>0</v>
      </c>
      <c r="J136" s="16">
        <f t="shared" si="20"/>
        <v>0</v>
      </c>
      <c r="K136" s="16">
        <f t="shared" si="34"/>
        <v>0</v>
      </c>
      <c r="L136" s="16">
        <f t="shared" si="22"/>
        <v>0</v>
      </c>
      <c r="M136" s="26">
        <f t="shared" si="19"/>
        <v>0</v>
      </c>
      <c r="N136" s="26">
        <f t="shared" si="23"/>
        <v>0</v>
      </c>
      <c r="O136" s="16">
        <f t="shared" si="35"/>
        <v>0</v>
      </c>
      <c r="P136" s="16">
        <f t="shared" si="25"/>
        <v>0</v>
      </c>
      <c r="Q136" s="26">
        <f t="shared" si="26"/>
        <v>0</v>
      </c>
      <c r="R136" s="26">
        <f t="shared" si="27"/>
        <v>0</v>
      </c>
      <c r="S136" s="16">
        <f t="shared" si="28"/>
        <v>0</v>
      </c>
      <c r="T136" s="16">
        <f t="shared" si="29"/>
        <v>0</v>
      </c>
      <c r="U136" s="26">
        <f t="shared" si="30"/>
        <v>0</v>
      </c>
      <c r="V136" s="26">
        <f t="shared" si="31"/>
        <v>0</v>
      </c>
      <c r="W136" s="16">
        <f t="shared" si="32"/>
        <v>0</v>
      </c>
    </row>
    <row r="137" spans="7:23" x14ac:dyDescent="0.25">
      <c r="G137">
        <v>128</v>
      </c>
      <c r="H137" s="21">
        <v>47727</v>
      </c>
      <c r="I137" s="16">
        <f t="shared" si="33"/>
        <v>0</v>
      </c>
      <c r="J137" s="16">
        <f t="shared" si="20"/>
        <v>0</v>
      </c>
      <c r="K137" s="16">
        <f t="shared" si="34"/>
        <v>0</v>
      </c>
      <c r="L137" s="16">
        <f t="shared" si="22"/>
        <v>0</v>
      </c>
      <c r="M137" s="26">
        <f t="shared" si="19"/>
        <v>0</v>
      </c>
      <c r="N137" s="26">
        <f t="shared" si="23"/>
        <v>0</v>
      </c>
      <c r="O137" s="16">
        <f t="shared" si="35"/>
        <v>0</v>
      </c>
      <c r="P137" s="16">
        <f t="shared" si="25"/>
        <v>0</v>
      </c>
      <c r="Q137" s="26">
        <f t="shared" si="26"/>
        <v>0</v>
      </c>
      <c r="R137" s="26">
        <f t="shared" si="27"/>
        <v>0</v>
      </c>
      <c r="S137" s="16">
        <f t="shared" si="28"/>
        <v>0</v>
      </c>
      <c r="T137" s="16">
        <f t="shared" si="29"/>
        <v>0</v>
      </c>
      <c r="U137" s="26">
        <f t="shared" si="30"/>
        <v>0</v>
      </c>
      <c r="V137" s="26">
        <f t="shared" si="31"/>
        <v>0</v>
      </c>
      <c r="W137" s="16">
        <f t="shared" si="32"/>
        <v>0</v>
      </c>
    </row>
    <row r="138" spans="7:23" x14ac:dyDescent="0.25">
      <c r="G138">
        <v>129</v>
      </c>
      <c r="H138" s="21">
        <v>47757</v>
      </c>
      <c r="I138" s="16">
        <f t="shared" ref="I138:I169" si="36">IF(G138&lt;=$D$13,$O$7/$D$13/(1+$D$20),0)</f>
        <v>0</v>
      </c>
      <c r="J138" s="16">
        <f t="shared" si="20"/>
        <v>0</v>
      </c>
      <c r="K138" s="16">
        <f t="shared" si="34"/>
        <v>0</v>
      </c>
      <c r="L138" s="16">
        <f t="shared" si="22"/>
        <v>0</v>
      </c>
      <c r="M138" s="26">
        <f t="shared" ref="M138:M189" si="37">IF(G138&lt;=$D$13,SUM(I138:L138),0)+IF(G138=$D$13,$D$19,0)</f>
        <v>0</v>
      </c>
      <c r="N138" s="26">
        <f t="shared" si="23"/>
        <v>0</v>
      </c>
      <c r="O138" s="16">
        <f t="shared" si="35"/>
        <v>0</v>
      </c>
      <c r="P138" s="16">
        <f t="shared" si="25"/>
        <v>0</v>
      </c>
      <c r="Q138" s="26">
        <f t="shared" si="26"/>
        <v>0</v>
      </c>
      <c r="R138" s="26">
        <f t="shared" si="27"/>
        <v>0</v>
      </c>
      <c r="S138" s="16">
        <f t="shared" si="28"/>
        <v>0</v>
      </c>
      <c r="T138" s="16">
        <f t="shared" si="29"/>
        <v>0</v>
      </c>
      <c r="U138" s="26">
        <f t="shared" si="30"/>
        <v>0</v>
      </c>
      <c r="V138" s="26">
        <f t="shared" si="31"/>
        <v>0</v>
      </c>
      <c r="W138" s="16">
        <f t="shared" si="32"/>
        <v>0</v>
      </c>
    </row>
    <row r="139" spans="7:23" x14ac:dyDescent="0.25">
      <c r="G139">
        <v>130</v>
      </c>
      <c r="H139" s="21">
        <v>47788</v>
      </c>
      <c r="I139" s="16">
        <f t="shared" si="36"/>
        <v>0</v>
      </c>
      <c r="J139" s="16">
        <f t="shared" ref="J139:J189" si="38">IF(G139&lt;=$D$13,I139*$D$20,0)</f>
        <v>0</v>
      </c>
      <c r="K139" s="16">
        <f t="shared" ref="K139:K170" si="39">IF(G139&lt;=$D$13,O138*$D$16,0)</f>
        <v>0</v>
      </c>
      <c r="L139" s="16">
        <f t="shared" ref="L139:L189" si="40">IF(G139&lt;=$D$13,K139*$D$20,0)</f>
        <v>0</v>
      </c>
      <c r="M139" s="26">
        <f t="shared" si="37"/>
        <v>0</v>
      </c>
      <c r="N139" s="26">
        <f t="shared" ref="N139:N189" si="41">M139+W139</f>
        <v>0</v>
      </c>
      <c r="O139" s="16">
        <f t="shared" ref="O139:O170" si="42">IF(G139&lt;=$D$13,O138-I139-J139,0)</f>
        <v>0</v>
      </c>
      <c r="P139" s="16">
        <f t="shared" ref="P139:P189" si="43">IF($D$31="нет",0,J139+L139+IF(G139=$D$13,$D$19*$D$20/(1+$D$20),0))</f>
        <v>0</v>
      </c>
      <c r="Q139" s="26">
        <f t="shared" ref="Q139:Q189" si="44">IF(G139&lt;=$D$13,M139-P139,0)</f>
        <v>0</v>
      </c>
      <c r="R139" s="26">
        <f t="shared" ref="R139:R189" si="45">Q139+W139</f>
        <v>0</v>
      </c>
      <c r="S139" s="16">
        <f t="shared" ref="S139:S189" si="46">IF($D$32="да",Q139*$D$21,0)</f>
        <v>0</v>
      </c>
      <c r="T139" s="16">
        <f t="shared" ref="T139:T189" si="47">IF($D$32="да",R139*$D$21,0)</f>
        <v>0</v>
      </c>
      <c r="U139" s="26">
        <f t="shared" ref="U139:U189" si="48">Q139-S139</f>
        <v>0</v>
      </c>
      <c r="V139" s="26">
        <f t="shared" ref="V139:V189" si="49">R139-T139</f>
        <v>0</v>
      </c>
      <c r="W139" s="16">
        <f t="shared" si="32"/>
        <v>0</v>
      </c>
    </row>
    <row r="140" spans="7:23" x14ac:dyDescent="0.25">
      <c r="G140">
        <v>131</v>
      </c>
      <c r="H140" s="21">
        <v>47818</v>
      </c>
      <c r="I140" s="16">
        <f t="shared" si="36"/>
        <v>0</v>
      </c>
      <c r="J140" s="16">
        <f t="shared" si="38"/>
        <v>0</v>
      </c>
      <c r="K140" s="16">
        <f t="shared" si="39"/>
        <v>0</v>
      </c>
      <c r="L140" s="16">
        <f t="shared" si="40"/>
        <v>0</v>
      </c>
      <c r="M140" s="26">
        <f t="shared" si="37"/>
        <v>0</v>
      </c>
      <c r="N140" s="26">
        <f t="shared" si="41"/>
        <v>0</v>
      </c>
      <c r="O140" s="16">
        <f t="shared" si="42"/>
        <v>0</v>
      </c>
      <c r="P140" s="16">
        <f t="shared" si="43"/>
        <v>0</v>
      </c>
      <c r="Q140" s="26">
        <f t="shared" si="44"/>
        <v>0</v>
      </c>
      <c r="R140" s="26">
        <f t="shared" si="45"/>
        <v>0</v>
      </c>
      <c r="S140" s="16">
        <f t="shared" si="46"/>
        <v>0</v>
      </c>
      <c r="T140" s="16">
        <f t="shared" si="47"/>
        <v>0</v>
      </c>
      <c r="U140" s="26">
        <f t="shared" si="48"/>
        <v>0</v>
      </c>
      <c r="V140" s="26">
        <f t="shared" si="49"/>
        <v>0</v>
      </c>
      <c r="W140" s="16">
        <f t="shared" ref="W140:W188" si="50">IF(G140&lt;=$D$13,$D$22*O139,0)</f>
        <v>0</v>
      </c>
    </row>
    <row r="141" spans="7:23" x14ac:dyDescent="0.25">
      <c r="G141">
        <v>132</v>
      </c>
      <c r="H141" s="21">
        <v>47849</v>
      </c>
      <c r="I141" s="16">
        <f t="shared" si="36"/>
        <v>0</v>
      </c>
      <c r="J141" s="16">
        <f t="shared" si="38"/>
        <v>0</v>
      </c>
      <c r="K141" s="16">
        <f t="shared" si="39"/>
        <v>0</v>
      </c>
      <c r="L141" s="16">
        <f t="shared" si="40"/>
        <v>0</v>
      </c>
      <c r="M141" s="26">
        <f t="shared" si="37"/>
        <v>0</v>
      </c>
      <c r="N141" s="26">
        <f t="shared" si="41"/>
        <v>0</v>
      </c>
      <c r="O141" s="16">
        <f t="shared" si="42"/>
        <v>0</v>
      </c>
      <c r="P141" s="16">
        <f t="shared" si="43"/>
        <v>0</v>
      </c>
      <c r="Q141" s="26">
        <f t="shared" si="44"/>
        <v>0</v>
      </c>
      <c r="R141" s="26">
        <f t="shared" si="45"/>
        <v>0</v>
      </c>
      <c r="S141" s="16">
        <f t="shared" si="46"/>
        <v>0</v>
      </c>
      <c r="T141" s="16">
        <f t="shared" si="47"/>
        <v>0</v>
      </c>
      <c r="U141" s="26">
        <f t="shared" si="48"/>
        <v>0</v>
      </c>
      <c r="V141" s="26">
        <f t="shared" si="49"/>
        <v>0</v>
      </c>
      <c r="W141" s="16">
        <f t="shared" si="50"/>
        <v>0</v>
      </c>
    </row>
    <row r="142" spans="7:23" x14ac:dyDescent="0.25">
      <c r="G142">
        <v>133</v>
      </c>
      <c r="H142" s="21">
        <v>47880</v>
      </c>
      <c r="I142" s="16">
        <f t="shared" si="36"/>
        <v>0</v>
      </c>
      <c r="J142" s="16">
        <f t="shared" si="38"/>
        <v>0</v>
      </c>
      <c r="K142" s="16">
        <f t="shared" si="39"/>
        <v>0</v>
      </c>
      <c r="L142" s="16">
        <f t="shared" si="40"/>
        <v>0</v>
      </c>
      <c r="M142" s="26">
        <f t="shared" si="37"/>
        <v>0</v>
      </c>
      <c r="N142" s="26">
        <f t="shared" si="41"/>
        <v>0</v>
      </c>
      <c r="O142" s="16">
        <f t="shared" si="42"/>
        <v>0</v>
      </c>
      <c r="P142" s="16">
        <f t="shared" si="43"/>
        <v>0</v>
      </c>
      <c r="Q142" s="26">
        <f t="shared" si="44"/>
        <v>0</v>
      </c>
      <c r="R142" s="26">
        <f t="shared" si="45"/>
        <v>0</v>
      </c>
      <c r="S142" s="16">
        <f t="shared" si="46"/>
        <v>0</v>
      </c>
      <c r="T142" s="16">
        <f t="shared" si="47"/>
        <v>0</v>
      </c>
      <c r="U142" s="26">
        <f t="shared" si="48"/>
        <v>0</v>
      </c>
      <c r="V142" s="26">
        <f t="shared" si="49"/>
        <v>0</v>
      </c>
      <c r="W142" s="16">
        <f t="shared" si="50"/>
        <v>0</v>
      </c>
    </row>
    <row r="143" spans="7:23" x14ac:dyDescent="0.25">
      <c r="G143">
        <v>134</v>
      </c>
      <c r="H143" s="21">
        <v>47908</v>
      </c>
      <c r="I143" s="16">
        <f t="shared" si="36"/>
        <v>0</v>
      </c>
      <c r="J143" s="16">
        <f t="shared" si="38"/>
        <v>0</v>
      </c>
      <c r="K143" s="16">
        <f t="shared" si="39"/>
        <v>0</v>
      </c>
      <c r="L143" s="16">
        <f t="shared" si="40"/>
        <v>0</v>
      </c>
      <c r="M143" s="26">
        <f t="shared" si="37"/>
        <v>0</v>
      </c>
      <c r="N143" s="26">
        <f t="shared" si="41"/>
        <v>0</v>
      </c>
      <c r="O143" s="16">
        <f t="shared" si="42"/>
        <v>0</v>
      </c>
      <c r="P143" s="16">
        <f t="shared" si="43"/>
        <v>0</v>
      </c>
      <c r="Q143" s="26">
        <f t="shared" si="44"/>
        <v>0</v>
      </c>
      <c r="R143" s="26">
        <f t="shared" si="45"/>
        <v>0</v>
      </c>
      <c r="S143" s="16">
        <f t="shared" si="46"/>
        <v>0</v>
      </c>
      <c r="T143" s="16">
        <f t="shared" si="47"/>
        <v>0</v>
      </c>
      <c r="U143" s="26">
        <f t="shared" si="48"/>
        <v>0</v>
      </c>
      <c r="V143" s="26">
        <f t="shared" si="49"/>
        <v>0</v>
      </c>
      <c r="W143" s="16">
        <f t="shared" si="50"/>
        <v>0</v>
      </c>
    </row>
    <row r="144" spans="7:23" x14ac:dyDescent="0.25">
      <c r="G144">
        <v>135</v>
      </c>
      <c r="H144" s="21">
        <v>47939</v>
      </c>
      <c r="I144" s="16">
        <f t="shared" si="36"/>
        <v>0</v>
      </c>
      <c r="J144" s="16">
        <f t="shared" si="38"/>
        <v>0</v>
      </c>
      <c r="K144" s="16">
        <f t="shared" si="39"/>
        <v>0</v>
      </c>
      <c r="L144" s="16">
        <f t="shared" si="40"/>
        <v>0</v>
      </c>
      <c r="M144" s="26">
        <f t="shared" si="37"/>
        <v>0</v>
      </c>
      <c r="N144" s="26">
        <f t="shared" si="41"/>
        <v>0</v>
      </c>
      <c r="O144" s="16">
        <f t="shared" si="42"/>
        <v>0</v>
      </c>
      <c r="P144" s="16">
        <f t="shared" si="43"/>
        <v>0</v>
      </c>
      <c r="Q144" s="26">
        <f t="shared" si="44"/>
        <v>0</v>
      </c>
      <c r="R144" s="26">
        <f t="shared" si="45"/>
        <v>0</v>
      </c>
      <c r="S144" s="16">
        <f t="shared" si="46"/>
        <v>0</v>
      </c>
      <c r="T144" s="16">
        <f t="shared" si="47"/>
        <v>0</v>
      </c>
      <c r="U144" s="26">
        <f t="shared" si="48"/>
        <v>0</v>
      </c>
      <c r="V144" s="26">
        <f t="shared" si="49"/>
        <v>0</v>
      </c>
      <c r="W144" s="16">
        <f t="shared" si="50"/>
        <v>0</v>
      </c>
    </row>
    <row r="145" spans="7:23" x14ac:dyDescent="0.25">
      <c r="G145">
        <v>136</v>
      </c>
      <c r="H145" s="21">
        <v>47969</v>
      </c>
      <c r="I145" s="16">
        <f t="shared" si="36"/>
        <v>0</v>
      </c>
      <c r="J145" s="16">
        <f t="shared" si="38"/>
        <v>0</v>
      </c>
      <c r="K145" s="16">
        <f t="shared" si="39"/>
        <v>0</v>
      </c>
      <c r="L145" s="16">
        <f t="shared" si="40"/>
        <v>0</v>
      </c>
      <c r="M145" s="26">
        <f t="shared" si="37"/>
        <v>0</v>
      </c>
      <c r="N145" s="26">
        <f t="shared" si="41"/>
        <v>0</v>
      </c>
      <c r="O145" s="16">
        <f t="shared" si="42"/>
        <v>0</v>
      </c>
      <c r="P145" s="16">
        <f t="shared" si="43"/>
        <v>0</v>
      </c>
      <c r="Q145" s="26">
        <f t="shared" si="44"/>
        <v>0</v>
      </c>
      <c r="R145" s="26">
        <f t="shared" si="45"/>
        <v>0</v>
      </c>
      <c r="S145" s="16">
        <f t="shared" si="46"/>
        <v>0</v>
      </c>
      <c r="T145" s="16">
        <f t="shared" si="47"/>
        <v>0</v>
      </c>
      <c r="U145" s="26">
        <f t="shared" si="48"/>
        <v>0</v>
      </c>
      <c r="V145" s="26">
        <f t="shared" si="49"/>
        <v>0</v>
      </c>
      <c r="W145" s="16">
        <f t="shared" si="50"/>
        <v>0</v>
      </c>
    </row>
    <row r="146" spans="7:23" x14ac:dyDescent="0.25">
      <c r="G146">
        <v>137</v>
      </c>
      <c r="H146" s="21">
        <v>48000</v>
      </c>
      <c r="I146" s="16">
        <f t="shared" si="36"/>
        <v>0</v>
      </c>
      <c r="J146" s="16">
        <f t="shared" si="38"/>
        <v>0</v>
      </c>
      <c r="K146" s="16">
        <f t="shared" si="39"/>
        <v>0</v>
      </c>
      <c r="L146" s="16">
        <f t="shared" si="40"/>
        <v>0</v>
      </c>
      <c r="M146" s="26">
        <f t="shared" si="37"/>
        <v>0</v>
      </c>
      <c r="N146" s="26">
        <f t="shared" si="41"/>
        <v>0</v>
      </c>
      <c r="O146" s="16">
        <f t="shared" si="42"/>
        <v>0</v>
      </c>
      <c r="P146" s="16">
        <f t="shared" si="43"/>
        <v>0</v>
      </c>
      <c r="Q146" s="26">
        <f t="shared" si="44"/>
        <v>0</v>
      </c>
      <c r="R146" s="26">
        <f t="shared" si="45"/>
        <v>0</v>
      </c>
      <c r="S146" s="16">
        <f t="shared" si="46"/>
        <v>0</v>
      </c>
      <c r="T146" s="16">
        <f t="shared" si="47"/>
        <v>0</v>
      </c>
      <c r="U146" s="26">
        <f t="shared" si="48"/>
        <v>0</v>
      </c>
      <c r="V146" s="26">
        <f t="shared" si="49"/>
        <v>0</v>
      </c>
      <c r="W146" s="16">
        <f t="shared" si="50"/>
        <v>0</v>
      </c>
    </row>
    <row r="147" spans="7:23" x14ac:dyDescent="0.25">
      <c r="G147">
        <v>138</v>
      </c>
      <c r="H147" s="21">
        <v>48030</v>
      </c>
      <c r="I147" s="16">
        <f t="shared" si="36"/>
        <v>0</v>
      </c>
      <c r="J147" s="16">
        <f t="shared" si="38"/>
        <v>0</v>
      </c>
      <c r="K147" s="16">
        <f t="shared" si="39"/>
        <v>0</v>
      </c>
      <c r="L147" s="16">
        <f t="shared" si="40"/>
        <v>0</v>
      </c>
      <c r="M147" s="26">
        <f t="shared" si="37"/>
        <v>0</v>
      </c>
      <c r="N147" s="26">
        <f t="shared" si="41"/>
        <v>0</v>
      </c>
      <c r="O147" s="16">
        <f t="shared" si="42"/>
        <v>0</v>
      </c>
      <c r="P147" s="16">
        <f t="shared" si="43"/>
        <v>0</v>
      </c>
      <c r="Q147" s="26">
        <f t="shared" si="44"/>
        <v>0</v>
      </c>
      <c r="R147" s="26">
        <f t="shared" si="45"/>
        <v>0</v>
      </c>
      <c r="S147" s="16">
        <f t="shared" si="46"/>
        <v>0</v>
      </c>
      <c r="T147" s="16">
        <f t="shared" si="47"/>
        <v>0</v>
      </c>
      <c r="U147" s="26">
        <f t="shared" si="48"/>
        <v>0</v>
      </c>
      <c r="V147" s="26">
        <f t="shared" si="49"/>
        <v>0</v>
      </c>
      <c r="W147" s="16">
        <f t="shared" si="50"/>
        <v>0</v>
      </c>
    </row>
    <row r="148" spans="7:23" x14ac:dyDescent="0.25">
      <c r="G148">
        <v>139</v>
      </c>
      <c r="H148" s="21">
        <v>48061</v>
      </c>
      <c r="I148" s="16">
        <f t="shared" si="36"/>
        <v>0</v>
      </c>
      <c r="J148" s="16">
        <f t="shared" si="38"/>
        <v>0</v>
      </c>
      <c r="K148" s="16">
        <f t="shared" si="39"/>
        <v>0</v>
      </c>
      <c r="L148" s="16">
        <f t="shared" si="40"/>
        <v>0</v>
      </c>
      <c r="M148" s="26">
        <f t="shared" si="37"/>
        <v>0</v>
      </c>
      <c r="N148" s="26">
        <f t="shared" si="41"/>
        <v>0</v>
      </c>
      <c r="O148" s="16">
        <f t="shared" si="42"/>
        <v>0</v>
      </c>
      <c r="P148" s="16">
        <f t="shared" si="43"/>
        <v>0</v>
      </c>
      <c r="Q148" s="26">
        <f t="shared" si="44"/>
        <v>0</v>
      </c>
      <c r="R148" s="26">
        <f t="shared" si="45"/>
        <v>0</v>
      </c>
      <c r="S148" s="16">
        <f t="shared" si="46"/>
        <v>0</v>
      </c>
      <c r="T148" s="16">
        <f t="shared" si="47"/>
        <v>0</v>
      </c>
      <c r="U148" s="26">
        <f t="shared" si="48"/>
        <v>0</v>
      </c>
      <c r="V148" s="26">
        <f t="shared" si="49"/>
        <v>0</v>
      </c>
      <c r="W148" s="16">
        <f t="shared" si="50"/>
        <v>0</v>
      </c>
    </row>
    <row r="149" spans="7:23" x14ac:dyDescent="0.25">
      <c r="G149">
        <v>140</v>
      </c>
      <c r="H149" s="21">
        <v>48092</v>
      </c>
      <c r="I149" s="16">
        <f t="shared" si="36"/>
        <v>0</v>
      </c>
      <c r="J149" s="16">
        <f t="shared" si="38"/>
        <v>0</v>
      </c>
      <c r="K149" s="16">
        <f t="shared" si="39"/>
        <v>0</v>
      </c>
      <c r="L149" s="16">
        <f t="shared" si="40"/>
        <v>0</v>
      </c>
      <c r="M149" s="26">
        <f t="shared" si="37"/>
        <v>0</v>
      </c>
      <c r="N149" s="26">
        <f t="shared" si="41"/>
        <v>0</v>
      </c>
      <c r="O149" s="16">
        <f t="shared" si="42"/>
        <v>0</v>
      </c>
      <c r="P149" s="16">
        <f t="shared" si="43"/>
        <v>0</v>
      </c>
      <c r="Q149" s="26">
        <f t="shared" si="44"/>
        <v>0</v>
      </c>
      <c r="R149" s="26">
        <f t="shared" si="45"/>
        <v>0</v>
      </c>
      <c r="S149" s="16">
        <f t="shared" si="46"/>
        <v>0</v>
      </c>
      <c r="T149" s="16">
        <f t="shared" si="47"/>
        <v>0</v>
      </c>
      <c r="U149" s="26">
        <f t="shared" si="48"/>
        <v>0</v>
      </c>
      <c r="V149" s="26">
        <f t="shared" si="49"/>
        <v>0</v>
      </c>
      <c r="W149" s="16">
        <f t="shared" si="50"/>
        <v>0</v>
      </c>
    </row>
    <row r="150" spans="7:23" x14ac:dyDescent="0.25">
      <c r="G150">
        <v>141</v>
      </c>
      <c r="H150" s="21">
        <v>48122</v>
      </c>
      <c r="I150" s="16">
        <f t="shared" si="36"/>
        <v>0</v>
      </c>
      <c r="J150" s="16">
        <f t="shared" si="38"/>
        <v>0</v>
      </c>
      <c r="K150" s="16">
        <f t="shared" si="39"/>
        <v>0</v>
      </c>
      <c r="L150" s="16">
        <f t="shared" si="40"/>
        <v>0</v>
      </c>
      <c r="M150" s="26">
        <f t="shared" si="37"/>
        <v>0</v>
      </c>
      <c r="N150" s="26">
        <f t="shared" si="41"/>
        <v>0</v>
      </c>
      <c r="O150" s="16">
        <f t="shared" si="42"/>
        <v>0</v>
      </c>
      <c r="P150" s="16">
        <f t="shared" si="43"/>
        <v>0</v>
      </c>
      <c r="Q150" s="26">
        <f t="shared" si="44"/>
        <v>0</v>
      </c>
      <c r="R150" s="26">
        <f t="shared" si="45"/>
        <v>0</v>
      </c>
      <c r="S150" s="16">
        <f t="shared" si="46"/>
        <v>0</v>
      </c>
      <c r="T150" s="16">
        <f t="shared" si="47"/>
        <v>0</v>
      </c>
      <c r="U150" s="26">
        <f t="shared" si="48"/>
        <v>0</v>
      </c>
      <c r="V150" s="26">
        <f t="shared" si="49"/>
        <v>0</v>
      </c>
      <c r="W150" s="16">
        <f t="shared" si="50"/>
        <v>0</v>
      </c>
    </row>
    <row r="151" spans="7:23" x14ac:dyDescent="0.25">
      <c r="G151">
        <v>142</v>
      </c>
      <c r="H151" s="21">
        <v>48153</v>
      </c>
      <c r="I151" s="16">
        <f t="shared" si="36"/>
        <v>0</v>
      </c>
      <c r="J151" s="16">
        <f t="shared" si="38"/>
        <v>0</v>
      </c>
      <c r="K151" s="16">
        <f t="shared" si="39"/>
        <v>0</v>
      </c>
      <c r="L151" s="16">
        <f t="shared" si="40"/>
        <v>0</v>
      </c>
      <c r="M151" s="26">
        <f t="shared" si="37"/>
        <v>0</v>
      </c>
      <c r="N151" s="26">
        <f t="shared" si="41"/>
        <v>0</v>
      </c>
      <c r="O151" s="16">
        <f t="shared" si="42"/>
        <v>0</v>
      </c>
      <c r="P151" s="16">
        <f t="shared" si="43"/>
        <v>0</v>
      </c>
      <c r="Q151" s="26">
        <f t="shared" si="44"/>
        <v>0</v>
      </c>
      <c r="R151" s="26">
        <f t="shared" si="45"/>
        <v>0</v>
      </c>
      <c r="S151" s="16">
        <f t="shared" si="46"/>
        <v>0</v>
      </c>
      <c r="T151" s="16">
        <f t="shared" si="47"/>
        <v>0</v>
      </c>
      <c r="U151" s="26">
        <f t="shared" si="48"/>
        <v>0</v>
      </c>
      <c r="V151" s="26">
        <f t="shared" si="49"/>
        <v>0</v>
      </c>
      <c r="W151" s="16">
        <f t="shared" si="50"/>
        <v>0</v>
      </c>
    </row>
    <row r="152" spans="7:23" x14ac:dyDescent="0.25">
      <c r="G152">
        <v>143</v>
      </c>
      <c r="H152" s="21">
        <v>48183</v>
      </c>
      <c r="I152" s="16">
        <f t="shared" si="36"/>
        <v>0</v>
      </c>
      <c r="J152" s="16">
        <f t="shared" si="38"/>
        <v>0</v>
      </c>
      <c r="K152" s="16">
        <f t="shared" si="39"/>
        <v>0</v>
      </c>
      <c r="L152" s="16">
        <f t="shared" si="40"/>
        <v>0</v>
      </c>
      <c r="M152" s="26">
        <f t="shared" si="37"/>
        <v>0</v>
      </c>
      <c r="N152" s="26">
        <f t="shared" si="41"/>
        <v>0</v>
      </c>
      <c r="O152" s="16">
        <f t="shared" si="42"/>
        <v>0</v>
      </c>
      <c r="P152" s="16">
        <f t="shared" si="43"/>
        <v>0</v>
      </c>
      <c r="Q152" s="26">
        <f t="shared" si="44"/>
        <v>0</v>
      </c>
      <c r="R152" s="26">
        <f t="shared" si="45"/>
        <v>0</v>
      </c>
      <c r="S152" s="16">
        <f t="shared" si="46"/>
        <v>0</v>
      </c>
      <c r="T152" s="16">
        <f t="shared" si="47"/>
        <v>0</v>
      </c>
      <c r="U152" s="26">
        <f t="shared" si="48"/>
        <v>0</v>
      </c>
      <c r="V152" s="26">
        <f t="shared" si="49"/>
        <v>0</v>
      </c>
      <c r="W152" s="16">
        <f t="shared" si="50"/>
        <v>0</v>
      </c>
    </row>
    <row r="153" spans="7:23" x14ac:dyDescent="0.25">
      <c r="G153">
        <v>144</v>
      </c>
      <c r="H153" s="21">
        <v>48214</v>
      </c>
      <c r="I153" s="16">
        <f t="shared" si="36"/>
        <v>0</v>
      </c>
      <c r="J153" s="16">
        <f t="shared" si="38"/>
        <v>0</v>
      </c>
      <c r="K153" s="16">
        <f t="shared" si="39"/>
        <v>0</v>
      </c>
      <c r="L153" s="16">
        <f t="shared" si="40"/>
        <v>0</v>
      </c>
      <c r="M153" s="26">
        <f t="shared" si="37"/>
        <v>0</v>
      </c>
      <c r="N153" s="26">
        <f t="shared" si="41"/>
        <v>0</v>
      </c>
      <c r="O153" s="16">
        <f t="shared" si="42"/>
        <v>0</v>
      </c>
      <c r="P153" s="16">
        <f t="shared" si="43"/>
        <v>0</v>
      </c>
      <c r="Q153" s="26">
        <f t="shared" si="44"/>
        <v>0</v>
      </c>
      <c r="R153" s="26">
        <f t="shared" si="45"/>
        <v>0</v>
      </c>
      <c r="S153" s="16">
        <f t="shared" si="46"/>
        <v>0</v>
      </c>
      <c r="T153" s="16">
        <f t="shared" si="47"/>
        <v>0</v>
      </c>
      <c r="U153" s="26">
        <f t="shared" si="48"/>
        <v>0</v>
      </c>
      <c r="V153" s="26">
        <f t="shared" si="49"/>
        <v>0</v>
      </c>
      <c r="W153" s="16">
        <f t="shared" si="50"/>
        <v>0</v>
      </c>
    </row>
    <row r="154" spans="7:23" x14ac:dyDescent="0.25">
      <c r="G154">
        <v>145</v>
      </c>
      <c r="H154" s="21">
        <v>48245</v>
      </c>
      <c r="I154" s="16">
        <f t="shared" si="36"/>
        <v>0</v>
      </c>
      <c r="J154" s="16">
        <f t="shared" si="38"/>
        <v>0</v>
      </c>
      <c r="K154" s="16">
        <f t="shared" si="39"/>
        <v>0</v>
      </c>
      <c r="L154" s="16">
        <f t="shared" si="40"/>
        <v>0</v>
      </c>
      <c r="M154" s="26">
        <f t="shared" si="37"/>
        <v>0</v>
      </c>
      <c r="N154" s="26">
        <f t="shared" si="41"/>
        <v>0</v>
      </c>
      <c r="O154" s="16">
        <f t="shared" si="42"/>
        <v>0</v>
      </c>
      <c r="P154" s="16">
        <f t="shared" si="43"/>
        <v>0</v>
      </c>
      <c r="Q154" s="26">
        <f t="shared" si="44"/>
        <v>0</v>
      </c>
      <c r="R154" s="26">
        <f t="shared" si="45"/>
        <v>0</v>
      </c>
      <c r="S154" s="16">
        <f t="shared" si="46"/>
        <v>0</v>
      </c>
      <c r="T154" s="16">
        <f t="shared" si="47"/>
        <v>0</v>
      </c>
      <c r="U154" s="26">
        <f t="shared" si="48"/>
        <v>0</v>
      </c>
      <c r="V154" s="26">
        <f t="shared" si="49"/>
        <v>0</v>
      </c>
      <c r="W154" s="16">
        <f t="shared" si="50"/>
        <v>0</v>
      </c>
    </row>
    <row r="155" spans="7:23" x14ac:dyDescent="0.25">
      <c r="G155">
        <v>146</v>
      </c>
      <c r="H155" s="21">
        <v>48274</v>
      </c>
      <c r="I155" s="16">
        <f t="shared" si="36"/>
        <v>0</v>
      </c>
      <c r="J155" s="16">
        <f t="shared" si="38"/>
        <v>0</v>
      </c>
      <c r="K155" s="16">
        <f t="shared" si="39"/>
        <v>0</v>
      </c>
      <c r="L155" s="16">
        <f t="shared" si="40"/>
        <v>0</v>
      </c>
      <c r="M155" s="26">
        <f t="shared" si="37"/>
        <v>0</v>
      </c>
      <c r="N155" s="26">
        <f t="shared" si="41"/>
        <v>0</v>
      </c>
      <c r="O155" s="16">
        <f t="shared" si="42"/>
        <v>0</v>
      </c>
      <c r="P155" s="16">
        <f t="shared" si="43"/>
        <v>0</v>
      </c>
      <c r="Q155" s="26">
        <f t="shared" si="44"/>
        <v>0</v>
      </c>
      <c r="R155" s="26">
        <f t="shared" si="45"/>
        <v>0</v>
      </c>
      <c r="S155" s="16">
        <f t="shared" si="46"/>
        <v>0</v>
      </c>
      <c r="T155" s="16">
        <f t="shared" si="47"/>
        <v>0</v>
      </c>
      <c r="U155" s="26">
        <f t="shared" si="48"/>
        <v>0</v>
      </c>
      <c r="V155" s="26">
        <f t="shared" si="49"/>
        <v>0</v>
      </c>
      <c r="W155" s="16">
        <f t="shared" si="50"/>
        <v>0</v>
      </c>
    </row>
    <row r="156" spans="7:23" x14ac:dyDescent="0.25">
      <c r="G156">
        <v>147</v>
      </c>
      <c r="H156" s="21">
        <v>48305</v>
      </c>
      <c r="I156" s="16">
        <f t="shared" si="36"/>
        <v>0</v>
      </c>
      <c r="J156" s="16">
        <f t="shared" si="38"/>
        <v>0</v>
      </c>
      <c r="K156" s="16">
        <f t="shared" si="39"/>
        <v>0</v>
      </c>
      <c r="L156" s="16">
        <f t="shared" si="40"/>
        <v>0</v>
      </c>
      <c r="M156" s="26">
        <f t="shared" si="37"/>
        <v>0</v>
      </c>
      <c r="N156" s="26">
        <f t="shared" si="41"/>
        <v>0</v>
      </c>
      <c r="O156" s="16">
        <f t="shared" si="42"/>
        <v>0</v>
      </c>
      <c r="P156" s="16">
        <f t="shared" si="43"/>
        <v>0</v>
      </c>
      <c r="Q156" s="26">
        <f t="shared" si="44"/>
        <v>0</v>
      </c>
      <c r="R156" s="26">
        <f t="shared" si="45"/>
        <v>0</v>
      </c>
      <c r="S156" s="16">
        <f t="shared" si="46"/>
        <v>0</v>
      </c>
      <c r="T156" s="16">
        <f t="shared" si="47"/>
        <v>0</v>
      </c>
      <c r="U156" s="26">
        <f t="shared" si="48"/>
        <v>0</v>
      </c>
      <c r="V156" s="26">
        <f t="shared" si="49"/>
        <v>0</v>
      </c>
      <c r="W156" s="16">
        <f t="shared" si="50"/>
        <v>0</v>
      </c>
    </row>
    <row r="157" spans="7:23" x14ac:dyDescent="0.25">
      <c r="G157">
        <v>148</v>
      </c>
      <c r="H157" s="21">
        <v>48335</v>
      </c>
      <c r="I157" s="16">
        <f t="shared" si="36"/>
        <v>0</v>
      </c>
      <c r="J157" s="16">
        <f t="shared" si="38"/>
        <v>0</v>
      </c>
      <c r="K157" s="16">
        <f t="shared" si="39"/>
        <v>0</v>
      </c>
      <c r="L157" s="16">
        <f t="shared" si="40"/>
        <v>0</v>
      </c>
      <c r="M157" s="26">
        <f t="shared" si="37"/>
        <v>0</v>
      </c>
      <c r="N157" s="26">
        <f t="shared" si="41"/>
        <v>0</v>
      </c>
      <c r="O157" s="16">
        <f t="shared" si="42"/>
        <v>0</v>
      </c>
      <c r="P157" s="16">
        <f t="shared" si="43"/>
        <v>0</v>
      </c>
      <c r="Q157" s="26">
        <f t="shared" si="44"/>
        <v>0</v>
      </c>
      <c r="R157" s="26">
        <f t="shared" si="45"/>
        <v>0</v>
      </c>
      <c r="S157" s="16">
        <f t="shared" si="46"/>
        <v>0</v>
      </c>
      <c r="T157" s="16">
        <f t="shared" si="47"/>
        <v>0</v>
      </c>
      <c r="U157" s="26">
        <f t="shared" si="48"/>
        <v>0</v>
      </c>
      <c r="V157" s="26">
        <f t="shared" si="49"/>
        <v>0</v>
      </c>
      <c r="W157" s="16">
        <f t="shared" si="50"/>
        <v>0</v>
      </c>
    </row>
    <row r="158" spans="7:23" x14ac:dyDescent="0.25">
      <c r="G158">
        <v>149</v>
      </c>
      <c r="H158" s="21">
        <v>48366</v>
      </c>
      <c r="I158" s="16">
        <f t="shared" si="36"/>
        <v>0</v>
      </c>
      <c r="J158" s="16">
        <f t="shared" si="38"/>
        <v>0</v>
      </c>
      <c r="K158" s="16">
        <f t="shared" si="39"/>
        <v>0</v>
      </c>
      <c r="L158" s="16">
        <f t="shared" si="40"/>
        <v>0</v>
      </c>
      <c r="M158" s="26">
        <f t="shared" si="37"/>
        <v>0</v>
      </c>
      <c r="N158" s="26">
        <f t="shared" si="41"/>
        <v>0</v>
      </c>
      <c r="O158" s="16">
        <f t="shared" si="42"/>
        <v>0</v>
      </c>
      <c r="P158" s="16">
        <f t="shared" si="43"/>
        <v>0</v>
      </c>
      <c r="Q158" s="26">
        <f t="shared" si="44"/>
        <v>0</v>
      </c>
      <c r="R158" s="26">
        <f t="shared" si="45"/>
        <v>0</v>
      </c>
      <c r="S158" s="16">
        <f t="shared" si="46"/>
        <v>0</v>
      </c>
      <c r="T158" s="16">
        <f t="shared" si="47"/>
        <v>0</v>
      </c>
      <c r="U158" s="26">
        <f t="shared" si="48"/>
        <v>0</v>
      </c>
      <c r="V158" s="26">
        <f t="shared" si="49"/>
        <v>0</v>
      </c>
      <c r="W158" s="16">
        <f t="shared" si="50"/>
        <v>0</v>
      </c>
    </row>
    <row r="159" spans="7:23" x14ac:dyDescent="0.25">
      <c r="G159">
        <v>150</v>
      </c>
      <c r="H159" s="21">
        <v>48396</v>
      </c>
      <c r="I159" s="16">
        <f t="shared" si="36"/>
        <v>0</v>
      </c>
      <c r="J159" s="16">
        <f t="shared" si="38"/>
        <v>0</v>
      </c>
      <c r="K159" s="16">
        <f t="shared" si="39"/>
        <v>0</v>
      </c>
      <c r="L159" s="16">
        <f t="shared" si="40"/>
        <v>0</v>
      </c>
      <c r="M159" s="26">
        <f t="shared" si="37"/>
        <v>0</v>
      </c>
      <c r="N159" s="26">
        <f t="shared" si="41"/>
        <v>0</v>
      </c>
      <c r="O159" s="16">
        <f t="shared" si="42"/>
        <v>0</v>
      </c>
      <c r="P159" s="16">
        <f t="shared" si="43"/>
        <v>0</v>
      </c>
      <c r="Q159" s="26">
        <f t="shared" si="44"/>
        <v>0</v>
      </c>
      <c r="R159" s="26">
        <f t="shared" si="45"/>
        <v>0</v>
      </c>
      <c r="S159" s="16">
        <f t="shared" si="46"/>
        <v>0</v>
      </c>
      <c r="T159" s="16">
        <f t="shared" si="47"/>
        <v>0</v>
      </c>
      <c r="U159" s="26">
        <f t="shared" si="48"/>
        <v>0</v>
      </c>
      <c r="V159" s="26">
        <f t="shared" si="49"/>
        <v>0</v>
      </c>
      <c r="W159" s="16">
        <f t="shared" si="50"/>
        <v>0</v>
      </c>
    </row>
    <row r="160" spans="7:23" x14ac:dyDescent="0.25">
      <c r="G160">
        <v>151</v>
      </c>
      <c r="H160" s="21">
        <v>48427</v>
      </c>
      <c r="I160" s="16">
        <f t="shared" si="36"/>
        <v>0</v>
      </c>
      <c r="J160" s="16">
        <f t="shared" si="38"/>
        <v>0</v>
      </c>
      <c r="K160" s="16">
        <f t="shared" si="39"/>
        <v>0</v>
      </c>
      <c r="L160" s="16">
        <f t="shared" si="40"/>
        <v>0</v>
      </c>
      <c r="M160" s="26">
        <f t="shared" si="37"/>
        <v>0</v>
      </c>
      <c r="N160" s="26">
        <f t="shared" si="41"/>
        <v>0</v>
      </c>
      <c r="O160" s="16">
        <f t="shared" si="42"/>
        <v>0</v>
      </c>
      <c r="P160" s="16">
        <f t="shared" si="43"/>
        <v>0</v>
      </c>
      <c r="Q160" s="26">
        <f t="shared" si="44"/>
        <v>0</v>
      </c>
      <c r="R160" s="26">
        <f t="shared" si="45"/>
        <v>0</v>
      </c>
      <c r="S160" s="16">
        <f t="shared" si="46"/>
        <v>0</v>
      </c>
      <c r="T160" s="16">
        <f t="shared" si="47"/>
        <v>0</v>
      </c>
      <c r="U160" s="26">
        <f t="shared" si="48"/>
        <v>0</v>
      </c>
      <c r="V160" s="26">
        <f t="shared" si="49"/>
        <v>0</v>
      </c>
      <c r="W160" s="16">
        <f t="shared" si="50"/>
        <v>0</v>
      </c>
    </row>
    <row r="161" spans="7:23" x14ac:dyDescent="0.25">
      <c r="G161">
        <v>152</v>
      </c>
      <c r="H161" s="21">
        <v>48458</v>
      </c>
      <c r="I161" s="16">
        <f t="shared" si="36"/>
        <v>0</v>
      </c>
      <c r="J161" s="16">
        <f t="shared" si="38"/>
        <v>0</v>
      </c>
      <c r="K161" s="16">
        <f t="shared" si="39"/>
        <v>0</v>
      </c>
      <c r="L161" s="16">
        <f t="shared" si="40"/>
        <v>0</v>
      </c>
      <c r="M161" s="26">
        <f t="shared" si="37"/>
        <v>0</v>
      </c>
      <c r="N161" s="26">
        <f t="shared" si="41"/>
        <v>0</v>
      </c>
      <c r="O161" s="16">
        <f t="shared" si="42"/>
        <v>0</v>
      </c>
      <c r="P161" s="16">
        <f t="shared" si="43"/>
        <v>0</v>
      </c>
      <c r="Q161" s="26">
        <f t="shared" si="44"/>
        <v>0</v>
      </c>
      <c r="R161" s="26">
        <f t="shared" si="45"/>
        <v>0</v>
      </c>
      <c r="S161" s="16">
        <f t="shared" si="46"/>
        <v>0</v>
      </c>
      <c r="T161" s="16">
        <f t="shared" si="47"/>
        <v>0</v>
      </c>
      <c r="U161" s="26">
        <f t="shared" si="48"/>
        <v>0</v>
      </c>
      <c r="V161" s="26">
        <f t="shared" si="49"/>
        <v>0</v>
      </c>
      <c r="W161" s="16">
        <f t="shared" si="50"/>
        <v>0</v>
      </c>
    </row>
    <row r="162" spans="7:23" x14ac:dyDescent="0.25">
      <c r="G162">
        <v>153</v>
      </c>
      <c r="H162" s="21">
        <v>48488</v>
      </c>
      <c r="I162" s="16">
        <f t="shared" si="36"/>
        <v>0</v>
      </c>
      <c r="J162" s="16">
        <f t="shared" si="38"/>
        <v>0</v>
      </c>
      <c r="K162" s="16">
        <f t="shared" si="39"/>
        <v>0</v>
      </c>
      <c r="L162" s="16">
        <f t="shared" si="40"/>
        <v>0</v>
      </c>
      <c r="M162" s="26">
        <f t="shared" si="37"/>
        <v>0</v>
      </c>
      <c r="N162" s="26">
        <f t="shared" si="41"/>
        <v>0</v>
      </c>
      <c r="O162" s="16">
        <f t="shared" si="42"/>
        <v>0</v>
      </c>
      <c r="P162" s="16">
        <f t="shared" si="43"/>
        <v>0</v>
      </c>
      <c r="Q162" s="26">
        <f t="shared" si="44"/>
        <v>0</v>
      </c>
      <c r="R162" s="26">
        <f t="shared" si="45"/>
        <v>0</v>
      </c>
      <c r="S162" s="16">
        <f t="shared" si="46"/>
        <v>0</v>
      </c>
      <c r="T162" s="16">
        <f t="shared" si="47"/>
        <v>0</v>
      </c>
      <c r="U162" s="26">
        <f t="shared" si="48"/>
        <v>0</v>
      </c>
      <c r="V162" s="26">
        <f t="shared" si="49"/>
        <v>0</v>
      </c>
      <c r="W162" s="16">
        <f t="shared" si="50"/>
        <v>0</v>
      </c>
    </row>
    <row r="163" spans="7:23" x14ac:dyDescent="0.25">
      <c r="G163">
        <v>154</v>
      </c>
      <c r="H163" s="21">
        <v>48519</v>
      </c>
      <c r="I163" s="16">
        <f t="shared" si="36"/>
        <v>0</v>
      </c>
      <c r="J163" s="16">
        <f t="shared" si="38"/>
        <v>0</v>
      </c>
      <c r="K163" s="16">
        <f t="shared" si="39"/>
        <v>0</v>
      </c>
      <c r="L163" s="16">
        <f t="shared" si="40"/>
        <v>0</v>
      </c>
      <c r="M163" s="26">
        <f t="shared" si="37"/>
        <v>0</v>
      </c>
      <c r="N163" s="26">
        <f t="shared" si="41"/>
        <v>0</v>
      </c>
      <c r="O163" s="16">
        <f t="shared" si="42"/>
        <v>0</v>
      </c>
      <c r="P163" s="16">
        <f t="shared" si="43"/>
        <v>0</v>
      </c>
      <c r="Q163" s="26">
        <f t="shared" si="44"/>
        <v>0</v>
      </c>
      <c r="R163" s="26">
        <f t="shared" si="45"/>
        <v>0</v>
      </c>
      <c r="S163" s="16">
        <f t="shared" si="46"/>
        <v>0</v>
      </c>
      <c r="T163" s="16">
        <f t="shared" si="47"/>
        <v>0</v>
      </c>
      <c r="U163" s="26">
        <f t="shared" si="48"/>
        <v>0</v>
      </c>
      <c r="V163" s="26">
        <f t="shared" si="49"/>
        <v>0</v>
      </c>
      <c r="W163" s="16">
        <f t="shared" si="50"/>
        <v>0</v>
      </c>
    </row>
    <row r="164" spans="7:23" x14ac:dyDescent="0.25">
      <c r="G164">
        <v>155</v>
      </c>
      <c r="H164" s="21">
        <v>48549</v>
      </c>
      <c r="I164" s="16">
        <f t="shared" si="36"/>
        <v>0</v>
      </c>
      <c r="J164" s="16">
        <f t="shared" si="38"/>
        <v>0</v>
      </c>
      <c r="K164" s="16">
        <f t="shared" si="39"/>
        <v>0</v>
      </c>
      <c r="L164" s="16">
        <f t="shared" si="40"/>
        <v>0</v>
      </c>
      <c r="M164" s="26">
        <f t="shared" si="37"/>
        <v>0</v>
      </c>
      <c r="N164" s="26">
        <f t="shared" si="41"/>
        <v>0</v>
      </c>
      <c r="O164" s="16">
        <f t="shared" si="42"/>
        <v>0</v>
      </c>
      <c r="P164" s="16">
        <f t="shared" si="43"/>
        <v>0</v>
      </c>
      <c r="Q164" s="26">
        <f t="shared" si="44"/>
        <v>0</v>
      </c>
      <c r="R164" s="26">
        <f t="shared" si="45"/>
        <v>0</v>
      </c>
      <c r="S164" s="16">
        <f t="shared" si="46"/>
        <v>0</v>
      </c>
      <c r="T164" s="16">
        <f t="shared" si="47"/>
        <v>0</v>
      </c>
      <c r="U164" s="26">
        <f t="shared" si="48"/>
        <v>0</v>
      </c>
      <c r="V164" s="26">
        <f t="shared" si="49"/>
        <v>0</v>
      </c>
      <c r="W164" s="16">
        <f t="shared" si="50"/>
        <v>0</v>
      </c>
    </row>
    <row r="165" spans="7:23" x14ac:dyDescent="0.25">
      <c r="G165">
        <v>156</v>
      </c>
      <c r="H165" s="21">
        <v>48580</v>
      </c>
      <c r="I165" s="16">
        <f t="shared" si="36"/>
        <v>0</v>
      </c>
      <c r="J165" s="16">
        <f t="shared" si="38"/>
        <v>0</v>
      </c>
      <c r="K165" s="16">
        <f t="shared" si="39"/>
        <v>0</v>
      </c>
      <c r="L165" s="16">
        <f t="shared" si="40"/>
        <v>0</v>
      </c>
      <c r="M165" s="26">
        <f t="shared" si="37"/>
        <v>0</v>
      </c>
      <c r="N165" s="26">
        <f t="shared" si="41"/>
        <v>0</v>
      </c>
      <c r="O165" s="16">
        <f t="shared" si="42"/>
        <v>0</v>
      </c>
      <c r="P165" s="16">
        <f t="shared" si="43"/>
        <v>0</v>
      </c>
      <c r="Q165" s="26">
        <f t="shared" si="44"/>
        <v>0</v>
      </c>
      <c r="R165" s="26">
        <f t="shared" si="45"/>
        <v>0</v>
      </c>
      <c r="S165" s="16">
        <f t="shared" si="46"/>
        <v>0</v>
      </c>
      <c r="T165" s="16">
        <f t="shared" si="47"/>
        <v>0</v>
      </c>
      <c r="U165" s="26">
        <f t="shared" si="48"/>
        <v>0</v>
      </c>
      <c r="V165" s="26">
        <f t="shared" si="49"/>
        <v>0</v>
      </c>
      <c r="W165" s="16">
        <f t="shared" si="50"/>
        <v>0</v>
      </c>
    </row>
    <row r="166" spans="7:23" x14ac:dyDescent="0.25">
      <c r="G166">
        <v>157</v>
      </c>
      <c r="H166" s="21">
        <v>48611</v>
      </c>
      <c r="I166" s="16">
        <f t="shared" si="36"/>
        <v>0</v>
      </c>
      <c r="J166" s="16">
        <f t="shared" si="38"/>
        <v>0</v>
      </c>
      <c r="K166" s="16">
        <f t="shared" si="39"/>
        <v>0</v>
      </c>
      <c r="L166" s="16">
        <f t="shared" si="40"/>
        <v>0</v>
      </c>
      <c r="M166" s="26">
        <f t="shared" si="37"/>
        <v>0</v>
      </c>
      <c r="N166" s="26">
        <f t="shared" si="41"/>
        <v>0</v>
      </c>
      <c r="O166" s="16">
        <f t="shared" si="42"/>
        <v>0</v>
      </c>
      <c r="P166" s="16">
        <f t="shared" si="43"/>
        <v>0</v>
      </c>
      <c r="Q166" s="26">
        <f t="shared" si="44"/>
        <v>0</v>
      </c>
      <c r="R166" s="26">
        <f t="shared" si="45"/>
        <v>0</v>
      </c>
      <c r="S166" s="16">
        <f t="shared" si="46"/>
        <v>0</v>
      </c>
      <c r="T166" s="16">
        <f t="shared" si="47"/>
        <v>0</v>
      </c>
      <c r="U166" s="26">
        <f t="shared" si="48"/>
        <v>0</v>
      </c>
      <c r="V166" s="26">
        <f t="shared" si="49"/>
        <v>0</v>
      </c>
      <c r="W166" s="16">
        <f t="shared" si="50"/>
        <v>0</v>
      </c>
    </row>
    <row r="167" spans="7:23" x14ac:dyDescent="0.25">
      <c r="G167">
        <v>158</v>
      </c>
      <c r="H167" s="21">
        <v>48639</v>
      </c>
      <c r="I167" s="16">
        <f t="shared" si="36"/>
        <v>0</v>
      </c>
      <c r="J167" s="16">
        <f t="shared" si="38"/>
        <v>0</v>
      </c>
      <c r="K167" s="16">
        <f t="shared" si="39"/>
        <v>0</v>
      </c>
      <c r="L167" s="16">
        <f t="shared" si="40"/>
        <v>0</v>
      </c>
      <c r="M167" s="26">
        <f t="shared" si="37"/>
        <v>0</v>
      </c>
      <c r="N167" s="26">
        <f t="shared" si="41"/>
        <v>0</v>
      </c>
      <c r="O167" s="16">
        <f t="shared" si="42"/>
        <v>0</v>
      </c>
      <c r="P167" s="16">
        <f t="shared" si="43"/>
        <v>0</v>
      </c>
      <c r="Q167" s="26">
        <f t="shared" si="44"/>
        <v>0</v>
      </c>
      <c r="R167" s="26">
        <f t="shared" si="45"/>
        <v>0</v>
      </c>
      <c r="S167" s="16">
        <f t="shared" si="46"/>
        <v>0</v>
      </c>
      <c r="T167" s="16">
        <f t="shared" si="47"/>
        <v>0</v>
      </c>
      <c r="U167" s="26">
        <f t="shared" si="48"/>
        <v>0</v>
      </c>
      <c r="V167" s="26">
        <f t="shared" si="49"/>
        <v>0</v>
      </c>
      <c r="W167" s="16">
        <f t="shared" si="50"/>
        <v>0</v>
      </c>
    </row>
    <row r="168" spans="7:23" x14ac:dyDescent="0.25">
      <c r="G168">
        <v>159</v>
      </c>
      <c r="H168" s="21">
        <v>48670</v>
      </c>
      <c r="I168" s="16">
        <f t="shared" si="36"/>
        <v>0</v>
      </c>
      <c r="J168" s="16">
        <f t="shared" si="38"/>
        <v>0</v>
      </c>
      <c r="K168" s="16">
        <f t="shared" si="39"/>
        <v>0</v>
      </c>
      <c r="L168" s="16">
        <f t="shared" si="40"/>
        <v>0</v>
      </c>
      <c r="M168" s="26">
        <f t="shared" si="37"/>
        <v>0</v>
      </c>
      <c r="N168" s="26">
        <f t="shared" si="41"/>
        <v>0</v>
      </c>
      <c r="O168" s="16">
        <f t="shared" si="42"/>
        <v>0</v>
      </c>
      <c r="P168" s="16">
        <f t="shared" si="43"/>
        <v>0</v>
      </c>
      <c r="Q168" s="26">
        <f t="shared" si="44"/>
        <v>0</v>
      </c>
      <c r="R168" s="26">
        <f t="shared" si="45"/>
        <v>0</v>
      </c>
      <c r="S168" s="16">
        <f t="shared" si="46"/>
        <v>0</v>
      </c>
      <c r="T168" s="16">
        <f t="shared" si="47"/>
        <v>0</v>
      </c>
      <c r="U168" s="26">
        <f t="shared" si="48"/>
        <v>0</v>
      </c>
      <c r="V168" s="26">
        <f t="shared" si="49"/>
        <v>0</v>
      </c>
      <c r="W168" s="16">
        <f t="shared" si="50"/>
        <v>0</v>
      </c>
    </row>
    <row r="169" spans="7:23" x14ac:dyDescent="0.25">
      <c r="G169">
        <v>160</v>
      </c>
      <c r="H169" s="21">
        <v>48700</v>
      </c>
      <c r="I169" s="16">
        <f t="shared" si="36"/>
        <v>0</v>
      </c>
      <c r="J169" s="16">
        <f t="shared" si="38"/>
        <v>0</v>
      </c>
      <c r="K169" s="16">
        <f t="shared" si="39"/>
        <v>0</v>
      </c>
      <c r="L169" s="16">
        <f t="shared" si="40"/>
        <v>0</v>
      </c>
      <c r="M169" s="26">
        <f t="shared" si="37"/>
        <v>0</v>
      </c>
      <c r="N169" s="26">
        <f t="shared" si="41"/>
        <v>0</v>
      </c>
      <c r="O169" s="16">
        <f t="shared" si="42"/>
        <v>0</v>
      </c>
      <c r="P169" s="16">
        <f t="shared" si="43"/>
        <v>0</v>
      </c>
      <c r="Q169" s="26">
        <f t="shared" si="44"/>
        <v>0</v>
      </c>
      <c r="R169" s="26">
        <f t="shared" si="45"/>
        <v>0</v>
      </c>
      <c r="S169" s="16">
        <f t="shared" si="46"/>
        <v>0</v>
      </c>
      <c r="T169" s="16">
        <f t="shared" si="47"/>
        <v>0</v>
      </c>
      <c r="U169" s="26">
        <f t="shared" si="48"/>
        <v>0</v>
      </c>
      <c r="V169" s="26">
        <f t="shared" si="49"/>
        <v>0</v>
      </c>
      <c r="W169" s="16">
        <f t="shared" si="50"/>
        <v>0</v>
      </c>
    </row>
    <row r="170" spans="7:23" x14ac:dyDescent="0.25">
      <c r="G170">
        <v>161</v>
      </c>
      <c r="H170" s="21">
        <v>48731</v>
      </c>
      <c r="I170" s="16">
        <f t="shared" ref="I170:I189" si="51">IF(G170&lt;=$D$13,$O$7/$D$13/(1+$D$20),0)</f>
        <v>0</v>
      </c>
      <c r="J170" s="16">
        <f t="shared" si="38"/>
        <v>0</v>
      </c>
      <c r="K170" s="16">
        <f t="shared" si="39"/>
        <v>0</v>
      </c>
      <c r="L170" s="16">
        <f t="shared" si="40"/>
        <v>0</v>
      </c>
      <c r="M170" s="26">
        <f t="shared" si="37"/>
        <v>0</v>
      </c>
      <c r="N170" s="26">
        <f t="shared" si="41"/>
        <v>0</v>
      </c>
      <c r="O170" s="16">
        <f t="shared" si="42"/>
        <v>0</v>
      </c>
      <c r="P170" s="16">
        <f t="shared" si="43"/>
        <v>0</v>
      </c>
      <c r="Q170" s="26">
        <f t="shared" si="44"/>
        <v>0</v>
      </c>
      <c r="R170" s="26">
        <f t="shared" si="45"/>
        <v>0</v>
      </c>
      <c r="S170" s="16">
        <f t="shared" si="46"/>
        <v>0</v>
      </c>
      <c r="T170" s="16">
        <f t="shared" si="47"/>
        <v>0</v>
      </c>
      <c r="U170" s="26">
        <f t="shared" si="48"/>
        <v>0</v>
      </c>
      <c r="V170" s="26">
        <f t="shared" si="49"/>
        <v>0</v>
      </c>
      <c r="W170" s="16">
        <f t="shared" si="50"/>
        <v>0</v>
      </c>
    </row>
    <row r="171" spans="7:23" x14ac:dyDescent="0.25">
      <c r="G171">
        <v>162</v>
      </c>
      <c r="H171" s="21">
        <v>48761</v>
      </c>
      <c r="I171" s="16">
        <f t="shared" si="51"/>
        <v>0</v>
      </c>
      <c r="J171" s="16">
        <f t="shared" si="38"/>
        <v>0</v>
      </c>
      <c r="K171" s="16">
        <f t="shared" ref="K171:K189" si="52">IF(G171&lt;=$D$13,O170*$D$16,0)</f>
        <v>0</v>
      </c>
      <c r="L171" s="16">
        <f t="shared" si="40"/>
        <v>0</v>
      </c>
      <c r="M171" s="26">
        <f t="shared" si="37"/>
        <v>0</v>
      </c>
      <c r="N171" s="26">
        <f t="shared" si="41"/>
        <v>0</v>
      </c>
      <c r="O171" s="16">
        <f t="shared" ref="O171:O189" si="53">IF(G171&lt;=$D$13,O170-I171-J171,0)</f>
        <v>0</v>
      </c>
      <c r="P171" s="16">
        <f t="shared" si="43"/>
        <v>0</v>
      </c>
      <c r="Q171" s="26">
        <f t="shared" si="44"/>
        <v>0</v>
      </c>
      <c r="R171" s="26">
        <f t="shared" si="45"/>
        <v>0</v>
      </c>
      <c r="S171" s="16">
        <f t="shared" si="46"/>
        <v>0</v>
      </c>
      <c r="T171" s="16">
        <f t="shared" si="47"/>
        <v>0</v>
      </c>
      <c r="U171" s="26">
        <f t="shared" si="48"/>
        <v>0</v>
      </c>
      <c r="V171" s="26">
        <f t="shared" si="49"/>
        <v>0</v>
      </c>
      <c r="W171" s="16">
        <f t="shared" si="50"/>
        <v>0</v>
      </c>
    </row>
    <row r="172" spans="7:23" x14ac:dyDescent="0.25">
      <c r="G172">
        <v>163</v>
      </c>
      <c r="H172" s="21">
        <v>48792</v>
      </c>
      <c r="I172" s="16">
        <f t="shared" si="51"/>
        <v>0</v>
      </c>
      <c r="J172" s="16">
        <f t="shared" si="38"/>
        <v>0</v>
      </c>
      <c r="K172" s="16">
        <f t="shared" si="52"/>
        <v>0</v>
      </c>
      <c r="L172" s="16">
        <f t="shared" si="40"/>
        <v>0</v>
      </c>
      <c r="M172" s="26">
        <f t="shared" si="37"/>
        <v>0</v>
      </c>
      <c r="N172" s="26">
        <f t="shared" si="41"/>
        <v>0</v>
      </c>
      <c r="O172" s="16">
        <f t="shared" si="53"/>
        <v>0</v>
      </c>
      <c r="P172" s="16">
        <f t="shared" si="43"/>
        <v>0</v>
      </c>
      <c r="Q172" s="26">
        <f t="shared" si="44"/>
        <v>0</v>
      </c>
      <c r="R172" s="26">
        <f t="shared" si="45"/>
        <v>0</v>
      </c>
      <c r="S172" s="16">
        <f t="shared" si="46"/>
        <v>0</v>
      </c>
      <c r="T172" s="16">
        <f t="shared" si="47"/>
        <v>0</v>
      </c>
      <c r="U172" s="26">
        <f t="shared" si="48"/>
        <v>0</v>
      </c>
      <c r="V172" s="26">
        <f t="shared" si="49"/>
        <v>0</v>
      </c>
      <c r="W172" s="16">
        <f t="shared" si="50"/>
        <v>0</v>
      </c>
    </row>
    <row r="173" spans="7:23" x14ac:dyDescent="0.25">
      <c r="G173">
        <v>164</v>
      </c>
      <c r="H173" s="21">
        <v>48823</v>
      </c>
      <c r="I173" s="16">
        <f t="shared" si="51"/>
        <v>0</v>
      </c>
      <c r="J173" s="16">
        <f t="shared" si="38"/>
        <v>0</v>
      </c>
      <c r="K173" s="16">
        <f t="shared" si="52"/>
        <v>0</v>
      </c>
      <c r="L173" s="16">
        <f t="shared" si="40"/>
        <v>0</v>
      </c>
      <c r="M173" s="26">
        <f t="shared" si="37"/>
        <v>0</v>
      </c>
      <c r="N173" s="26">
        <f t="shared" si="41"/>
        <v>0</v>
      </c>
      <c r="O173" s="16">
        <f t="shared" si="53"/>
        <v>0</v>
      </c>
      <c r="P173" s="16">
        <f t="shared" si="43"/>
        <v>0</v>
      </c>
      <c r="Q173" s="26">
        <f t="shared" si="44"/>
        <v>0</v>
      </c>
      <c r="R173" s="26">
        <f t="shared" si="45"/>
        <v>0</v>
      </c>
      <c r="S173" s="16">
        <f t="shared" si="46"/>
        <v>0</v>
      </c>
      <c r="T173" s="16">
        <f t="shared" si="47"/>
        <v>0</v>
      </c>
      <c r="U173" s="26">
        <f t="shared" si="48"/>
        <v>0</v>
      </c>
      <c r="V173" s="26">
        <f t="shared" si="49"/>
        <v>0</v>
      </c>
      <c r="W173" s="16">
        <f t="shared" si="50"/>
        <v>0</v>
      </c>
    </row>
    <row r="174" spans="7:23" x14ac:dyDescent="0.25">
      <c r="G174">
        <v>165</v>
      </c>
      <c r="H174" s="21">
        <v>48853</v>
      </c>
      <c r="I174" s="16">
        <f t="shared" si="51"/>
        <v>0</v>
      </c>
      <c r="J174" s="16">
        <f t="shared" si="38"/>
        <v>0</v>
      </c>
      <c r="K174" s="16">
        <f t="shared" si="52"/>
        <v>0</v>
      </c>
      <c r="L174" s="16">
        <f t="shared" si="40"/>
        <v>0</v>
      </c>
      <c r="M174" s="26">
        <f t="shared" si="37"/>
        <v>0</v>
      </c>
      <c r="N174" s="26">
        <f t="shared" si="41"/>
        <v>0</v>
      </c>
      <c r="O174" s="16">
        <f t="shared" si="53"/>
        <v>0</v>
      </c>
      <c r="P174" s="16">
        <f t="shared" si="43"/>
        <v>0</v>
      </c>
      <c r="Q174" s="26">
        <f t="shared" si="44"/>
        <v>0</v>
      </c>
      <c r="R174" s="26">
        <f t="shared" si="45"/>
        <v>0</v>
      </c>
      <c r="S174" s="16">
        <f t="shared" si="46"/>
        <v>0</v>
      </c>
      <c r="T174" s="16">
        <f t="shared" si="47"/>
        <v>0</v>
      </c>
      <c r="U174" s="26">
        <f t="shared" si="48"/>
        <v>0</v>
      </c>
      <c r="V174" s="26">
        <f t="shared" si="49"/>
        <v>0</v>
      </c>
      <c r="W174" s="16">
        <f t="shared" si="50"/>
        <v>0</v>
      </c>
    </row>
    <row r="175" spans="7:23" x14ac:dyDescent="0.25">
      <c r="G175">
        <v>166</v>
      </c>
      <c r="H175" s="21">
        <v>48884</v>
      </c>
      <c r="I175" s="16">
        <f t="shared" si="51"/>
        <v>0</v>
      </c>
      <c r="J175" s="16">
        <f t="shared" si="38"/>
        <v>0</v>
      </c>
      <c r="K175" s="16">
        <f t="shared" si="52"/>
        <v>0</v>
      </c>
      <c r="L175" s="16">
        <f t="shared" si="40"/>
        <v>0</v>
      </c>
      <c r="M175" s="26">
        <f t="shared" si="37"/>
        <v>0</v>
      </c>
      <c r="N175" s="26">
        <f t="shared" si="41"/>
        <v>0</v>
      </c>
      <c r="O175" s="16">
        <f t="shared" si="53"/>
        <v>0</v>
      </c>
      <c r="P175" s="16">
        <f t="shared" si="43"/>
        <v>0</v>
      </c>
      <c r="Q175" s="26">
        <f t="shared" si="44"/>
        <v>0</v>
      </c>
      <c r="R175" s="26">
        <f t="shared" si="45"/>
        <v>0</v>
      </c>
      <c r="S175" s="16">
        <f t="shared" si="46"/>
        <v>0</v>
      </c>
      <c r="T175" s="16">
        <f t="shared" si="47"/>
        <v>0</v>
      </c>
      <c r="U175" s="26">
        <f t="shared" si="48"/>
        <v>0</v>
      </c>
      <c r="V175" s="26">
        <f t="shared" si="49"/>
        <v>0</v>
      </c>
      <c r="W175" s="16">
        <f t="shared" si="50"/>
        <v>0</v>
      </c>
    </row>
    <row r="176" spans="7:23" x14ac:dyDescent="0.25">
      <c r="G176">
        <v>167</v>
      </c>
      <c r="H176" s="21">
        <v>48914</v>
      </c>
      <c r="I176" s="16">
        <f t="shared" si="51"/>
        <v>0</v>
      </c>
      <c r="J176" s="16">
        <f t="shared" si="38"/>
        <v>0</v>
      </c>
      <c r="K176" s="16">
        <f t="shared" si="52"/>
        <v>0</v>
      </c>
      <c r="L176" s="16">
        <f t="shared" si="40"/>
        <v>0</v>
      </c>
      <c r="M176" s="26">
        <f t="shared" si="37"/>
        <v>0</v>
      </c>
      <c r="N176" s="26">
        <f t="shared" si="41"/>
        <v>0</v>
      </c>
      <c r="O176" s="16">
        <f t="shared" si="53"/>
        <v>0</v>
      </c>
      <c r="P176" s="16">
        <f t="shared" si="43"/>
        <v>0</v>
      </c>
      <c r="Q176" s="26">
        <f t="shared" si="44"/>
        <v>0</v>
      </c>
      <c r="R176" s="26">
        <f t="shared" si="45"/>
        <v>0</v>
      </c>
      <c r="S176" s="16">
        <f t="shared" si="46"/>
        <v>0</v>
      </c>
      <c r="T176" s="16">
        <f t="shared" si="47"/>
        <v>0</v>
      </c>
      <c r="U176" s="26">
        <f t="shared" si="48"/>
        <v>0</v>
      </c>
      <c r="V176" s="26">
        <f t="shared" si="49"/>
        <v>0</v>
      </c>
      <c r="W176" s="16">
        <f t="shared" si="50"/>
        <v>0</v>
      </c>
    </row>
    <row r="177" spans="7:23" x14ac:dyDescent="0.25">
      <c r="G177">
        <v>168</v>
      </c>
      <c r="H177" s="21">
        <v>48945</v>
      </c>
      <c r="I177" s="16">
        <f t="shared" si="51"/>
        <v>0</v>
      </c>
      <c r="J177" s="16">
        <f t="shared" si="38"/>
        <v>0</v>
      </c>
      <c r="K177" s="16">
        <f t="shared" si="52"/>
        <v>0</v>
      </c>
      <c r="L177" s="16">
        <f t="shared" si="40"/>
        <v>0</v>
      </c>
      <c r="M177" s="26">
        <f t="shared" si="37"/>
        <v>0</v>
      </c>
      <c r="N177" s="26">
        <f t="shared" si="41"/>
        <v>0</v>
      </c>
      <c r="O177" s="16">
        <f t="shared" si="53"/>
        <v>0</v>
      </c>
      <c r="P177" s="16">
        <f t="shared" si="43"/>
        <v>0</v>
      </c>
      <c r="Q177" s="26">
        <f t="shared" si="44"/>
        <v>0</v>
      </c>
      <c r="R177" s="26">
        <f t="shared" si="45"/>
        <v>0</v>
      </c>
      <c r="S177" s="16">
        <f t="shared" si="46"/>
        <v>0</v>
      </c>
      <c r="T177" s="16">
        <f t="shared" si="47"/>
        <v>0</v>
      </c>
      <c r="U177" s="26">
        <f t="shared" si="48"/>
        <v>0</v>
      </c>
      <c r="V177" s="26">
        <f t="shared" si="49"/>
        <v>0</v>
      </c>
      <c r="W177" s="16">
        <f t="shared" si="50"/>
        <v>0</v>
      </c>
    </row>
    <row r="178" spans="7:23" x14ac:dyDescent="0.25">
      <c r="G178">
        <v>169</v>
      </c>
      <c r="H178" s="21">
        <v>48976</v>
      </c>
      <c r="I178" s="16">
        <f t="shared" si="51"/>
        <v>0</v>
      </c>
      <c r="J178" s="16">
        <f t="shared" si="38"/>
        <v>0</v>
      </c>
      <c r="K178" s="16">
        <f t="shared" si="52"/>
        <v>0</v>
      </c>
      <c r="L178" s="16">
        <f t="shared" si="40"/>
        <v>0</v>
      </c>
      <c r="M178" s="26">
        <f t="shared" si="37"/>
        <v>0</v>
      </c>
      <c r="N178" s="26">
        <f t="shared" si="41"/>
        <v>0</v>
      </c>
      <c r="O178" s="16">
        <f t="shared" si="53"/>
        <v>0</v>
      </c>
      <c r="P178" s="16">
        <f t="shared" si="43"/>
        <v>0</v>
      </c>
      <c r="Q178" s="26">
        <f t="shared" si="44"/>
        <v>0</v>
      </c>
      <c r="R178" s="26">
        <f t="shared" si="45"/>
        <v>0</v>
      </c>
      <c r="S178" s="16">
        <f t="shared" si="46"/>
        <v>0</v>
      </c>
      <c r="T178" s="16">
        <f t="shared" si="47"/>
        <v>0</v>
      </c>
      <c r="U178" s="26">
        <f t="shared" si="48"/>
        <v>0</v>
      </c>
      <c r="V178" s="26">
        <f t="shared" si="49"/>
        <v>0</v>
      </c>
      <c r="W178" s="16">
        <f t="shared" si="50"/>
        <v>0</v>
      </c>
    </row>
    <row r="179" spans="7:23" x14ac:dyDescent="0.25">
      <c r="G179">
        <v>170</v>
      </c>
      <c r="H179" s="21">
        <v>49004</v>
      </c>
      <c r="I179" s="16">
        <f t="shared" si="51"/>
        <v>0</v>
      </c>
      <c r="J179" s="16">
        <f t="shared" si="38"/>
        <v>0</v>
      </c>
      <c r="K179" s="16">
        <f t="shared" si="52"/>
        <v>0</v>
      </c>
      <c r="L179" s="16">
        <f t="shared" si="40"/>
        <v>0</v>
      </c>
      <c r="M179" s="26">
        <f t="shared" si="37"/>
        <v>0</v>
      </c>
      <c r="N179" s="26">
        <f t="shared" si="41"/>
        <v>0</v>
      </c>
      <c r="O179" s="16">
        <f t="shared" si="53"/>
        <v>0</v>
      </c>
      <c r="P179" s="16">
        <f t="shared" si="43"/>
        <v>0</v>
      </c>
      <c r="Q179" s="26">
        <f t="shared" si="44"/>
        <v>0</v>
      </c>
      <c r="R179" s="26">
        <f t="shared" si="45"/>
        <v>0</v>
      </c>
      <c r="S179" s="16">
        <f t="shared" si="46"/>
        <v>0</v>
      </c>
      <c r="T179" s="16">
        <f t="shared" si="47"/>
        <v>0</v>
      </c>
      <c r="U179" s="26">
        <f t="shared" si="48"/>
        <v>0</v>
      </c>
      <c r="V179" s="26">
        <f t="shared" si="49"/>
        <v>0</v>
      </c>
      <c r="W179" s="16">
        <f t="shared" si="50"/>
        <v>0</v>
      </c>
    </row>
    <row r="180" spans="7:23" x14ac:dyDescent="0.25">
      <c r="G180">
        <v>171</v>
      </c>
      <c r="H180" s="21">
        <v>49035</v>
      </c>
      <c r="I180" s="16">
        <f t="shared" si="51"/>
        <v>0</v>
      </c>
      <c r="J180" s="16">
        <f t="shared" si="38"/>
        <v>0</v>
      </c>
      <c r="K180" s="16">
        <f t="shared" si="52"/>
        <v>0</v>
      </c>
      <c r="L180" s="16">
        <f t="shared" si="40"/>
        <v>0</v>
      </c>
      <c r="M180" s="26">
        <f t="shared" si="37"/>
        <v>0</v>
      </c>
      <c r="N180" s="26">
        <f t="shared" si="41"/>
        <v>0</v>
      </c>
      <c r="O180" s="16">
        <f t="shared" si="53"/>
        <v>0</v>
      </c>
      <c r="P180" s="16">
        <f t="shared" si="43"/>
        <v>0</v>
      </c>
      <c r="Q180" s="26">
        <f t="shared" si="44"/>
        <v>0</v>
      </c>
      <c r="R180" s="26">
        <f t="shared" si="45"/>
        <v>0</v>
      </c>
      <c r="S180" s="16">
        <f t="shared" si="46"/>
        <v>0</v>
      </c>
      <c r="T180" s="16">
        <f t="shared" si="47"/>
        <v>0</v>
      </c>
      <c r="U180" s="26">
        <f t="shared" si="48"/>
        <v>0</v>
      </c>
      <c r="V180" s="26">
        <f t="shared" si="49"/>
        <v>0</v>
      </c>
      <c r="W180" s="16">
        <f t="shared" si="50"/>
        <v>0</v>
      </c>
    </row>
    <row r="181" spans="7:23" x14ac:dyDescent="0.25">
      <c r="G181">
        <v>172</v>
      </c>
      <c r="H181" s="21">
        <v>49065</v>
      </c>
      <c r="I181" s="16">
        <f t="shared" si="51"/>
        <v>0</v>
      </c>
      <c r="J181" s="16">
        <f t="shared" si="38"/>
        <v>0</v>
      </c>
      <c r="K181" s="16">
        <f t="shared" si="52"/>
        <v>0</v>
      </c>
      <c r="L181" s="16">
        <f t="shared" si="40"/>
        <v>0</v>
      </c>
      <c r="M181" s="26">
        <f t="shared" si="37"/>
        <v>0</v>
      </c>
      <c r="N181" s="26">
        <f t="shared" si="41"/>
        <v>0</v>
      </c>
      <c r="O181" s="16">
        <f t="shared" si="53"/>
        <v>0</v>
      </c>
      <c r="P181" s="16">
        <f t="shared" si="43"/>
        <v>0</v>
      </c>
      <c r="Q181" s="26">
        <f t="shared" si="44"/>
        <v>0</v>
      </c>
      <c r="R181" s="26">
        <f t="shared" si="45"/>
        <v>0</v>
      </c>
      <c r="S181" s="16">
        <f t="shared" si="46"/>
        <v>0</v>
      </c>
      <c r="T181" s="16">
        <f t="shared" si="47"/>
        <v>0</v>
      </c>
      <c r="U181" s="26">
        <f t="shared" si="48"/>
        <v>0</v>
      </c>
      <c r="V181" s="26">
        <f t="shared" si="49"/>
        <v>0</v>
      </c>
      <c r="W181" s="16">
        <f t="shared" si="50"/>
        <v>0</v>
      </c>
    </row>
    <row r="182" spans="7:23" x14ac:dyDescent="0.25">
      <c r="G182">
        <v>173</v>
      </c>
      <c r="H182" s="21">
        <v>49096</v>
      </c>
      <c r="I182" s="16">
        <f t="shared" si="51"/>
        <v>0</v>
      </c>
      <c r="J182" s="16">
        <f t="shared" si="38"/>
        <v>0</v>
      </c>
      <c r="K182" s="16">
        <f t="shared" si="52"/>
        <v>0</v>
      </c>
      <c r="L182" s="16">
        <f t="shared" si="40"/>
        <v>0</v>
      </c>
      <c r="M182" s="26">
        <f t="shared" si="37"/>
        <v>0</v>
      </c>
      <c r="N182" s="26">
        <f t="shared" si="41"/>
        <v>0</v>
      </c>
      <c r="O182" s="16">
        <f t="shared" si="53"/>
        <v>0</v>
      </c>
      <c r="P182" s="16">
        <f t="shared" si="43"/>
        <v>0</v>
      </c>
      <c r="Q182" s="26">
        <f t="shared" si="44"/>
        <v>0</v>
      </c>
      <c r="R182" s="26">
        <f t="shared" si="45"/>
        <v>0</v>
      </c>
      <c r="S182" s="16">
        <f t="shared" si="46"/>
        <v>0</v>
      </c>
      <c r="T182" s="16">
        <f t="shared" si="47"/>
        <v>0</v>
      </c>
      <c r="U182" s="26">
        <f t="shared" si="48"/>
        <v>0</v>
      </c>
      <c r="V182" s="26">
        <f t="shared" si="49"/>
        <v>0</v>
      </c>
      <c r="W182" s="16">
        <f t="shared" si="50"/>
        <v>0</v>
      </c>
    </row>
    <row r="183" spans="7:23" x14ac:dyDescent="0.25">
      <c r="G183">
        <v>174</v>
      </c>
      <c r="H183" s="21">
        <v>49126</v>
      </c>
      <c r="I183" s="16">
        <f t="shared" si="51"/>
        <v>0</v>
      </c>
      <c r="J183" s="16">
        <f t="shared" si="38"/>
        <v>0</v>
      </c>
      <c r="K183" s="16">
        <f t="shared" si="52"/>
        <v>0</v>
      </c>
      <c r="L183" s="16">
        <f t="shared" si="40"/>
        <v>0</v>
      </c>
      <c r="M183" s="26">
        <f t="shared" si="37"/>
        <v>0</v>
      </c>
      <c r="N183" s="26">
        <f t="shared" si="41"/>
        <v>0</v>
      </c>
      <c r="O183" s="16">
        <f t="shared" si="53"/>
        <v>0</v>
      </c>
      <c r="P183" s="16">
        <f t="shared" si="43"/>
        <v>0</v>
      </c>
      <c r="Q183" s="26">
        <f t="shared" si="44"/>
        <v>0</v>
      </c>
      <c r="R183" s="26">
        <f t="shared" si="45"/>
        <v>0</v>
      </c>
      <c r="S183" s="16">
        <f t="shared" si="46"/>
        <v>0</v>
      </c>
      <c r="T183" s="16">
        <f t="shared" si="47"/>
        <v>0</v>
      </c>
      <c r="U183" s="26">
        <f t="shared" si="48"/>
        <v>0</v>
      </c>
      <c r="V183" s="26">
        <f t="shared" si="49"/>
        <v>0</v>
      </c>
      <c r="W183" s="16">
        <f t="shared" si="50"/>
        <v>0</v>
      </c>
    </row>
    <row r="184" spans="7:23" x14ac:dyDescent="0.25">
      <c r="G184">
        <v>175</v>
      </c>
      <c r="H184" s="21">
        <v>49157</v>
      </c>
      <c r="I184" s="16">
        <f t="shared" si="51"/>
        <v>0</v>
      </c>
      <c r="J184" s="16">
        <f t="shared" si="38"/>
        <v>0</v>
      </c>
      <c r="K184" s="16">
        <f t="shared" si="52"/>
        <v>0</v>
      </c>
      <c r="L184" s="16">
        <f t="shared" si="40"/>
        <v>0</v>
      </c>
      <c r="M184" s="26">
        <f t="shared" si="37"/>
        <v>0</v>
      </c>
      <c r="N184" s="26">
        <f t="shared" si="41"/>
        <v>0</v>
      </c>
      <c r="O184" s="16">
        <f t="shared" si="53"/>
        <v>0</v>
      </c>
      <c r="P184" s="16">
        <f t="shared" si="43"/>
        <v>0</v>
      </c>
      <c r="Q184" s="26">
        <f t="shared" si="44"/>
        <v>0</v>
      </c>
      <c r="R184" s="26">
        <f t="shared" si="45"/>
        <v>0</v>
      </c>
      <c r="S184" s="16">
        <f t="shared" si="46"/>
        <v>0</v>
      </c>
      <c r="T184" s="16">
        <f t="shared" si="47"/>
        <v>0</v>
      </c>
      <c r="U184" s="26">
        <f t="shared" si="48"/>
        <v>0</v>
      </c>
      <c r="V184" s="26">
        <f t="shared" si="49"/>
        <v>0</v>
      </c>
      <c r="W184" s="16">
        <f t="shared" si="50"/>
        <v>0</v>
      </c>
    </row>
    <row r="185" spans="7:23" x14ac:dyDescent="0.25">
      <c r="G185">
        <v>176</v>
      </c>
      <c r="H185" s="21">
        <v>49188</v>
      </c>
      <c r="I185" s="16">
        <f t="shared" si="51"/>
        <v>0</v>
      </c>
      <c r="J185" s="16">
        <f t="shared" si="38"/>
        <v>0</v>
      </c>
      <c r="K185" s="16">
        <f t="shared" si="52"/>
        <v>0</v>
      </c>
      <c r="L185" s="16">
        <f t="shared" si="40"/>
        <v>0</v>
      </c>
      <c r="M185" s="26">
        <f t="shared" si="37"/>
        <v>0</v>
      </c>
      <c r="N185" s="26">
        <f t="shared" si="41"/>
        <v>0</v>
      </c>
      <c r="O185" s="16">
        <f t="shared" si="53"/>
        <v>0</v>
      </c>
      <c r="P185" s="16">
        <f t="shared" si="43"/>
        <v>0</v>
      </c>
      <c r="Q185" s="26">
        <f t="shared" si="44"/>
        <v>0</v>
      </c>
      <c r="R185" s="26">
        <f t="shared" si="45"/>
        <v>0</v>
      </c>
      <c r="S185" s="16">
        <f t="shared" si="46"/>
        <v>0</v>
      </c>
      <c r="T185" s="16">
        <f t="shared" si="47"/>
        <v>0</v>
      </c>
      <c r="U185" s="26">
        <f t="shared" si="48"/>
        <v>0</v>
      </c>
      <c r="V185" s="26">
        <f t="shared" si="49"/>
        <v>0</v>
      </c>
      <c r="W185" s="16">
        <f t="shared" si="50"/>
        <v>0</v>
      </c>
    </row>
    <row r="186" spans="7:23" x14ac:dyDescent="0.25">
      <c r="G186">
        <v>177</v>
      </c>
      <c r="H186" s="21">
        <v>49218</v>
      </c>
      <c r="I186" s="16">
        <f t="shared" si="51"/>
        <v>0</v>
      </c>
      <c r="J186" s="16">
        <f t="shared" si="38"/>
        <v>0</v>
      </c>
      <c r="K186" s="16">
        <f t="shared" si="52"/>
        <v>0</v>
      </c>
      <c r="L186" s="16">
        <f t="shared" si="40"/>
        <v>0</v>
      </c>
      <c r="M186" s="26">
        <f t="shared" si="37"/>
        <v>0</v>
      </c>
      <c r="N186" s="26">
        <f t="shared" si="41"/>
        <v>0</v>
      </c>
      <c r="O186" s="16">
        <f t="shared" si="53"/>
        <v>0</v>
      </c>
      <c r="P186" s="16">
        <f t="shared" si="43"/>
        <v>0</v>
      </c>
      <c r="Q186" s="26">
        <f t="shared" si="44"/>
        <v>0</v>
      </c>
      <c r="R186" s="26">
        <f t="shared" si="45"/>
        <v>0</v>
      </c>
      <c r="S186" s="16">
        <f t="shared" si="46"/>
        <v>0</v>
      </c>
      <c r="T186" s="16">
        <f t="shared" si="47"/>
        <v>0</v>
      </c>
      <c r="U186" s="26">
        <f t="shared" si="48"/>
        <v>0</v>
      </c>
      <c r="V186" s="26">
        <f t="shared" si="49"/>
        <v>0</v>
      </c>
      <c r="W186" s="16">
        <f t="shared" si="50"/>
        <v>0</v>
      </c>
    </row>
    <row r="187" spans="7:23" x14ac:dyDescent="0.25">
      <c r="G187">
        <v>178</v>
      </c>
      <c r="H187" s="21">
        <v>49249</v>
      </c>
      <c r="I187" s="16">
        <f t="shared" si="51"/>
        <v>0</v>
      </c>
      <c r="J187" s="16">
        <f t="shared" si="38"/>
        <v>0</v>
      </c>
      <c r="K187" s="16">
        <f t="shared" si="52"/>
        <v>0</v>
      </c>
      <c r="L187" s="16">
        <f t="shared" si="40"/>
        <v>0</v>
      </c>
      <c r="M187" s="26">
        <f t="shared" si="37"/>
        <v>0</v>
      </c>
      <c r="N187" s="26">
        <f t="shared" si="41"/>
        <v>0</v>
      </c>
      <c r="O187" s="16">
        <f t="shared" si="53"/>
        <v>0</v>
      </c>
      <c r="P187" s="16">
        <f t="shared" si="43"/>
        <v>0</v>
      </c>
      <c r="Q187" s="26">
        <f t="shared" si="44"/>
        <v>0</v>
      </c>
      <c r="R187" s="26">
        <f t="shared" si="45"/>
        <v>0</v>
      </c>
      <c r="S187" s="16">
        <f t="shared" si="46"/>
        <v>0</v>
      </c>
      <c r="T187" s="16">
        <f t="shared" si="47"/>
        <v>0</v>
      </c>
      <c r="U187" s="26">
        <f t="shared" si="48"/>
        <v>0</v>
      </c>
      <c r="V187" s="26">
        <f t="shared" si="49"/>
        <v>0</v>
      </c>
      <c r="W187" s="16">
        <f t="shared" si="50"/>
        <v>0</v>
      </c>
    </row>
    <row r="188" spans="7:23" x14ac:dyDescent="0.25">
      <c r="G188">
        <v>179</v>
      </c>
      <c r="H188" s="21">
        <v>49279</v>
      </c>
      <c r="I188" s="16">
        <f t="shared" si="51"/>
        <v>0</v>
      </c>
      <c r="J188" s="16">
        <f t="shared" si="38"/>
        <v>0</v>
      </c>
      <c r="K188" s="16">
        <f t="shared" si="52"/>
        <v>0</v>
      </c>
      <c r="L188" s="16">
        <f t="shared" si="40"/>
        <v>0</v>
      </c>
      <c r="M188" s="26">
        <f t="shared" si="37"/>
        <v>0</v>
      </c>
      <c r="N188" s="26">
        <f t="shared" si="41"/>
        <v>0</v>
      </c>
      <c r="O188" s="16">
        <f t="shared" si="53"/>
        <v>0</v>
      </c>
      <c r="P188" s="16">
        <f t="shared" si="43"/>
        <v>0</v>
      </c>
      <c r="Q188" s="26">
        <f t="shared" si="44"/>
        <v>0</v>
      </c>
      <c r="R188" s="26">
        <f t="shared" si="45"/>
        <v>0</v>
      </c>
      <c r="S188" s="16">
        <f t="shared" si="46"/>
        <v>0</v>
      </c>
      <c r="T188" s="16">
        <f t="shared" si="47"/>
        <v>0</v>
      </c>
      <c r="U188" s="26">
        <f t="shared" si="48"/>
        <v>0</v>
      </c>
      <c r="V188" s="26">
        <f t="shared" si="49"/>
        <v>0</v>
      </c>
      <c r="W188" s="16">
        <f t="shared" si="50"/>
        <v>0</v>
      </c>
    </row>
    <row r="189" spans="7:23" x14ac:dyDescent="0.25">
      <c r="G189">
        <v>180</v>
      </c>
      <c r="H189" s="21">
        <v>49310</v>
      </c>
      <c r="I189" s="16">
        <f t="shared" si="51"/>
        <v>0</v>
      </c>
      <c r="J189" s="16">
        <f t="shared" si="38"/>
        <v>0</v>
      </c>
      <c r="K189" s="16">
        <f t="shared" si="52"/>
        <v>0</v>
      </c>
      <c r="L189" s="16">
        <f t="shared" si="40"/>
        <v>0</v>
      </c>
      <c r="M189" s="26">
        <f t="shared" si="37"/>
        <v>0</v>
      </c>
      <c r="N189" s="26">
        <f t="shared" si="41"/>
        <v>0</v>
      </c>
      <c r="O189" s="16">
        <f t="shared" si="53"/>
        <v>0</v>
      </c>
      <c r="P189" s="16">
        <f t="shared" si="43"/>
        <v>0</v>
      </c>
      <c r="Q189" s="26">
        <f t="shared" si="44"/>
        <v>0</v>
      </c>
      <c r="R189" s="26">
        <f t="shared" si="45"/>
        <v>0</v>
      </c>
      <c r="S189" s="16">
        <f t="shared" si="46"/>
        <v>0</v>
      </c>
      <c r="T189" s="16">
        <f t="shared" si="47"/>
        <v>0</v>
      </c>
      <c r="U189" s="26">
        <f t="shared" si="48"/>
        <v>0</v>
      </c>
      <c r="V189" s="26">
        <f t="shared" si="49"/>
        <v>0</v>
      </c>
      <c r="W189" s="16">
        <f>IF(G189&lt;=$D$13,$D$22*O188,0)</f>
        <v>0</v>
      </c>
    </row>
  </sheetData>
  <mergeCells count="32">
    <mergeCell ref="U5:U6"/>
    <mergeCell ref="W5:W6"/>
    <mergeCell ref="G5:G6"/>
    <mergeCell ref="I5:J5"/>
    <mergeCell ref="K5:K6"/>
    <mergeCell ref="P5:P6"/>
    <mergeCell ref="Q5:Q6"/>
    <mergeCell ref="O5:O6"/>
    <mergeCell ref="M5:M6"/>
    <mergeCell ref="L5:L6"/>
    <mergeCell ref="S5:S6"/>
    <mergeCell ref="N5:N6"/>
    <mergeCell ref="R5:R6"/>
    <mergeCell ref="T5:T6"/>
    <mergeCell ref="V5:V6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7:C27"/>
    <mergeCell ref="A21:C21"/>
    <mergeCell ref="A24:C24"/>
    <mergeCell ref="A25:C25"/>
    <mergeCell ref="A23:C23"/>
    <mergeCell ref="A22:C22"/>
  </mergeCells>
  <pageMargins left="0.7" right="0.7" top="0.75" bottom="0.75" header="0.3" footer="0.3"/>
  <ignoredErrors>
    <ignoredError sqref="D1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L186"/>
  <sheetViews>
    <sheetView topLeftCell="B32" workbookViewId="0">
      <selection activeCell="O18" sqref="O18:Q20"/>
    </sheetView>
  </sheetViews>
  <sheetFormatPr defaultRowHeight="15" x14ac:dyDescent="0.25"/>
  <cols>
    <col min="1" max="1" width="10.140625" bestFit="1" customWidth="1"/>
    <col min="3" max="3" width="14.28515625" style="24" bestFit="1" customWidth="1"/>
    <col min="4" max="4" width="13.28515625" bestFit="1" customWidth="1"/>
    <col min="5" max="5" width="14.5703125" style="24" bestFit="1" customWidth="1"/>
    <col min="6" max="6" width="13.28515625" bestFit="1" customWidth="1"/>
    <col min="7" max="7" width="14.5703125" style="24" bestFit="1" customWidth="1"/>
    <col min="9" max="9" width="16.42578125" bestFit="1" customWidth="1"/>
  </cols>
  <sheetData>
    <row r="2" spans="1:12" x14ac:dyDescent="0.25">
      <c r="C2" s="62">
        <f>XIRR(C6:C186,A6:A186,)</f>
        <v>-0.21917076781392103</v>
      </c>
      <c r="D2" s="10"/>
      <c r="E2" s="62">
        <f>XIRR(E6:E186,A6:A186,)</f>
        <v>-0.3212141625583172</v>
      </c>
      <c r="F2" t="s">
        <v>77</v>
      </c>
      <c r="G2" s="62">
        <f>XIRR(G6:G186,A6:A186,)</f>
        <v>-0.37471067383885392</v>
      </c>
      <c r="I2" t="s">
        <v>115</v>
      </c>
      <c r="J2" t="str">
        <f>VLOOKUP('Калькулятор лизинга'!K7,Лист2!C2:E10,3,)</f>
        <v>да</v>
      </c>
      <c r="K2" t="s">
        <v>132</v>
      </c>
      <c r="L2" s="10">
        <f>'Калькулятор лизинга'!F30/100/12</f>
        <v>8.3333333333333331E-5</v>
      </c>
    </row>
    <row r="3" spans="1:12" x14ac:dyDescent="0.25">
      <c r="C3" s="26">
        <f>SUM(C7:C186)+C5</f>
        <v>3208000</v>
      </c>
      <c r="D3" s="56">
        <f>SUM(D7:D186)+D5</f>
        <v>534666.66666666674</v>
      </c>
      <c r="E3" s="64">
        <f>SUM(E7:E186)+E5</f>
        <v>2673333.333333334</v>
      </c>
      <c r="F3" s="17">
        <f>SUM(F5:F186)</f>
        <v>534666.6666666664</v>
      </c>
      <c r="G3" s="62"/>
      <c r="I3" t="s">
        <v>119</v>
      </c>
      <c r="J3" t="str">
        <f>VLOOKUP('Калькулятор лизинга'!K7,Лист2!C2:F10,4,)</f>
        <v>да</v>
      </c>
    </row>
    <row r="4" spans="1:12" ht="30" x14ac:dyDescent="0.25">
      <c r="C4" s="63" t="s">
        <v>16</v>
      </c>
      <c r="D4" s="55" t="s">
        <v>4</v>
      </c>
      <c r="E4" s="65" t="s">
        <v>50</v>
      </c>
      <c r="F4" s="54" t="s">
        <v>123</v>
      </c>
      <c r="G4" s="65" t="s">
        <v>52</v>
      </c>
      <c r="J4" s="9"/>
    </row>
    <row r="5" spans="1:12" x14ac:dyDescent="0.25">
      <c r="A5" s="57" t="s">
        <v>9</v>
      </c>
      <c r="B5" s="57"/>
      <c r="C5" s="26">
        <f>IF('Калькулятор лизинга'!D24=Лист2!L2,'Калькулятор лизинга'!K5*'Калькулятор лизинга'!F24/100,'Калькулятор лизинга'!F24)</f>
        <v>1257000</v>
      </c>
      <c r="D5" s="58">
        <f>IF($J$2="нет",0,C5*'Калькулятор лизинга'!K11/(100+'Калькулятор лизинга'!K11))</f>
        <v>209500</v>
      </c>
      <c r="E5" s="26">
        <f>C5-D5</f>
        <v>1047500</v>
      </c>
      <c r="F5" s="58">
        <f>IF($J$3="да",E5*'Калькулятор лизинга'!$K$9/100,0)</f>
        <v>209500</v>
      </c>
      <c r="G5" s="62"/>
    </row>
    <row r="6" spans="1:12" x14ac:dyDescent="0.25">
      <c r="A6" s="21">
        <v>43831</v>
      </c>
      <c r="C6" s="26">
        <f>-('Калькулятор лизинга'!K5-C5)</f>
        <v>-2933000</v>
      </c>
      <c r="E6" s="26">
        <f>C6-D5</f>
        <v>-3142500</v>
      </c>
      <c r="G6" s="26">
        <f>E6+F5</f>
        <v>-2933000</v>
      </c>
    </row>
    <row r="7" spans="1:12" x14ac:dyDescent="0.25">
      <c r="A7" s="21">
        <v>43862</v>
      </c>
      <c r="B7">
        <v>1</v>
      </c>
      <c r="C7" s="26">
        <f>IF(B7&lt;='Калькулятор лизинга'!$F$16,'Калькулятор лизинга'!Y5,0)+IF(B7='Калькулятор лизинга'!$F$16,'Калькулятор лизинга'!$F$27)</f>
        <v>50000</v>
      </c>
      <c r="D7" s="16">
        <f>IF($J$2="нет",0,C7*'Калькулятор лизинга'!$K$11/(100+'Калькулятор лизинга'!$K$11))</f>
        <v>8333.3333333333339</v>
      </c>
      <c r="E7" s="26">
        <f t="shared" ref="E7:E38" si="0">C7-D7</f>
        <v>41666.666666666664</v>
      </c>
      <c r="F7" s="16">
        <f>IF($J$3="да",E7*'Калькулятор лизинга'!$K$9/100,0)</f>
        <v>8333.3333333333321</v>
      </c>
      <c r="G7" s="26">
        <f t="shared" ref="G7:G38" si="1">E7-F7</f>
        <v>33333.333333333328</v>
      </c>
    </row>
    <row r="8" spans="1:12" x14ac:dyDescent="0.25">
      <c r="A8" s="21">
        <v>43891</v>
      </c>
      <c r="B8">
        <v>2</v>
      </c>
      <c r="C8" s="26">
        <f>IF(B8&lt;='Калькулятор лизинга'!$F$16,'Калькулятор лизинга'!Y6,0)+IF(B8='Калькулятор лизинга'!$F$16,'Калькулятор лизинга'!$F$27)</f>
        <v>50000</v>
      </c>
      <c r="D8" s="16">
        <f>IF($J$2="нет",0,C8*'Калькулятор лизинга'!$K$11/(100+'Калькулятор лизинга'!$K$11))</f>
        <v>8333.3333333333339</v>
      </c>
      <c r="E8" s="26">
        <f t="shared" si="0"/>
        <v>41666.666666666664</v>
      </c>
      <c r="F8" s="16">
        <f>IF($J$3="да",E8*'Калькулятор лизинга'!$K$9/100,0)</f>
        <v>8333.3333333333321</v>
      </c>
      <c r="G8" s="26">
        <f t="shared" si="1"/>
        <v>33333.333333333328</v>
      </c>
    </row>
    <row r="9" spans="1:12" x14ac:dyDescent="0.25">
      <c r="A9" s="21">
        <v>43922</v>
      </c>
      <c r="B9">
        <v>3</v>
      </c>
      <c r="C9" s="26">
        <f>IF(B9&lt;='Калькулятор лизинга'!$F$16,'Калькулятор лизинга'!Y7,0)+IF(B9='Калькулятор лизинга'!$F$16,'Калькулятор лизинга'!$F$27)</f>
        <v>50000</v>
      </c>
      <c r="D9" s="16">
        <f>IF($J$2="нет",0,C9*'Калькулятор лизинга'!$K$11/(100+'Калькулятор лизинга'!$K$11))</f>
        <v>8333.3333333333339</v>
      </c>
      <c r="E9" s="26">
        <f t="shared" si="0"/>
        <v>41666.666666666664</v>
      </c>
      <c r="F9" s="16">
        <f>IF($J$3="да",E9*'Калькулятор лизинга'!$K$9/100,0)</f>
        <v>8333.3333333333321</v>
      </c>
      <c r="G9" s="26">
        <f t="shared" si="1"/>
        <v>33333.333333333328</v>
      </c>
    </row>
    <row r="10" spans="1:12" x14ac:dyDescent="0.25">
      <c r="A10" s="21">
        <v>43952</v>
      </c>
      <c r="B10">
        <v>4</v>
      </c>
      <c r="C10" s="26">
        <f>IF(B10&lt;='Калькулятор лизинга'!$F$16,'Калькулятор лизинга'!Y8,0)+IF(B10='Калькулятор лизинга'!$F$16,'Калькулятор лизинга'!$F$27)</f>
        <v>50000</v>
      </c>
      <c r="D10" s="16">
        <f>IF($J$2="нет",0,C10*'Калькулятор лизинга'!$K$11/(100+'Калькулятор лизинга'!$K$11))</f>
        <v>8333.3333333333339</v>
      </c>
      <c r="E10" s="26">
        <f t="shared" si="0"/>
        <v>41666.666666666664</v>
      </c>
      <c r="F10" s="16">
        <f>IF($J$3="да",E10*'Калькулятор лизинга'!$K$9/100,0)</f>
        <v>8333.3333333333321</v>
      </c>
      <c r="G10" s="26">
        <f t="shared" si="1"/>
        <v>33333.333333333328</v>
      </c>
    </row>
    <row r="11" spans="1:12" x14ac:dyDescent="0.25">
      <c r="A11" s="21">
        <v>43983</v>
      </c>
      <c r="B11">
        <v>5</v>
      </c>
      <c r="C11" s="26">
        <f>IF(B11&lt;='Калькулятор лизинга'!$F$16,'Калькулятор лизинга'!Y9,0)+IF(B11='Калькулятор лизинга'!$F$16,'Калькулятор лизинга'!$F$27)</f>
        <v>50000</v>
      </c>
      <c r="D11" s="16">
        <f>IF($J$2="нет",0,C11*'Калькулятор лизинга'!$K$11/(100+'Калькулятор лизинга'!$K$11))</f>
        <v>8333.3333333333339</v>
      </c>
      <c r="E11" s="26">
        <f t="shared" si="0"/>
        <v>41666.666666666664</v>
      </c>
      <c r="F11" s="16">
        <f>IF($J$3="да",E11*'Калькулятор лизинга'!$K$9/100,0)</f>
        <v>8333.3333333333321</v>
      </c>
      <c r="G11" s="26">
        <f t="shared" si="1"/>
        <v>33333.333333333328</v>
      </c>
    </row>
    <row r="12" spans="1:12" x14ac:dyDescent="0.25">
      <c r="A12" s="21">
        <v>44013</v>
      </c>
      <c r="B12">
        <v>6</v>
      </c>
      <c r="C12" s="26">
        <f>IF(B12&lt;='Калькулятор лизинга'!$F$16,'Калькулятор лизинга'!Y10,0)+IF(B12='Калькулятор лизинга'!$F$16,'Калькулятор лизинга'!$F$27)</f>
        <v>50000</v>
      </c>
      <c r="D12" s="16">
        <f>IF($J$2="нет",0,C12*'Калькулятор лизинга'!$K$11/(100+'Калькулятор лизинга'!$K$11))</f>
        <v>8333.3333333333339</v>
      </c>
      <c r="E12" s="26">
        <f t="shared" si="0"/>
        <v>41666.666666666664</v>
      </c>
      <c r="F12" s="16">
        <f>IF($J$3="да",E12*'Калькулятор лизинга'!$K$9/100,0)</f>
        <v>8333.3333333333321</v>
      </c>
      <c r="G12" s="26">
        <f t="shared" si="1"/>
        <v>33333.333333333328</v>
      </c>
    </row>
    <row r="13" spans="1:12" x14ac:dyDescent="0.25">
      <c r="A13" s="21">
        <v>44044</v>
      </c>
      <c r="B13">
        <v>7</v>
      </c>
      <c r="C13" s="26">
        <f>IF(B13&lt;='Калькулятор лизинга'!$F$16,'Калькулятор лизинга'!Y11,0)+IF(B13='Калькулятор лизинга'!$F$16,'Калькулятор лизинга'!$F$27)</f>
        <v>60000</v>
      </c>
      <c r="D13" s="16">
        <f>IF($J$2="нет",0,C13*'Калькулятор лизинга'!$K$11/(100+'Калькулятор лизинга'!$K$11))</f>
        <v>10000</v>
      </c>
      <c r="E13" s="26">
        <f t="shared" si="0"/>
        <v>50000</v>
      </c>
      <c r="F13" s="16">
        <f>IF($J$3="да",E13*'Калькулятор лизинга'!$K$9/100,0)</f>
        <v>10000</v>
      </c>
      <c r="G13" s="26">
        <f t="shared" si="1"/>
        <v>40000</v>
      </c>
    </row>
    <row r="14" spans="1:12" x14ac:dyDescent="0.25">
      <c r="A14" s="21">
        <v>44075</v>
      </c>
      <c r="B14">
        <v>8</v>
      </c>
      <c r="C14" s="26">
        <f>IF(B14&lt;='Калькулятор лизинга'!$F$16,'Калькулятор лизинга'!Y12,0)+IF(B14='Калькулятор лизинга'!$F$16,'Калькулятор лизинга'!$F$27)</f>
        <v>60000</v>
      </c>
      <c r="D14" s="16">
        <f>IF($J$2="нет",0,C14*'Калькулятор лизинга'!$K$11/(100+'Калькулятор лизинга'!$K$11))</f>
        <v>10000</v>
      </c>
      <c r="E14" s="26">
        <f t="shared" si="0"/>
        <v>50000</v>
      </c>
      <c r="F14" s="16">
        <f>IF($J$3="да",E14*'Калькулятор лизинга'!$K$9/100,0)</f>
        <v>10000</v>
      </c>
      <c r="G14" s="26">
        <f t="shared" si="1"/>
        <v>40000</v>
      </c>
    </row>
    <row r="15" spans="1:12" x14ac:dyDescent="0.25">
      <c r="A15" s="21">
        <v>44105</v>
      </c>
      <c r="B15">
        <v>9</v>
      </c>
      <c r="C15" s="26">
        <f>IF(B15&lt;='Калькулятор лизинга'!$F$16,'Калькулятор лизинга'!Y13,0)+IF(B15='Калькулятор лизинга'!$F$16,'Калькулятор лизинга'!$F$27)</f>
        <v>60000</v>
      </c>
      <c r="D15" s="16">
        <f>IF($J$2="нет",0,C15*'Калькулятор лизинга'!$K$11/(100+'Калькулятор лизинга'!$K$11))</f>
        <v>10000</v>
      </c>
      <c r="E15" s="26">
        <f t="shared" si="0"/>
        <v>50000</v>
      </c>
      <c r="F15" s="16">
        <f>IF($J$3="да",E15*'Калькулятор лизинга'!$K$9/100,0)</f>
        <v>10000</v>
      </c>
      <c r="G15" s="26">
        <f t="shared" si="1"/>
        <v>40000</v>
      </c>
    </row>
    <row r="16" spans="1:12" x14ac:dyDescent="0.25">
      <c r="A16" s="21">
        <v>44136</v>
      </c>
      <c r="B16">
        <v>10</v>
      </c>
      <c r="C16" s="26">
        <f>IF(B16&lt;='Калькулятор лизинга'!$F$16,'Калькулятор лизинга'!Y14,0)+IF(B16='Калькулятор лизинга'!$F$16,'Калькулятор лизинга'!$F$27)</f>
        <v>60000</v>
      </c>
      <c r="D16" s="16">
        <f>IF($J$2="нет",0,C16*'Калькулятор лизинга'!$K$11/(100+'Калькулятор лизинга'!$K$11))</f>
        <v>10000</v>
      </c>
      <c r="E16" s="26">
        <f t="shared" si="0"/>
        <v>50000</v>
      </c>
      <c r="F16" s="16">
        <f>IF($J$3="да",E16*'Калькулятор лизинга'!$K$9/100,0)</f>
        <v>10000</v>
      </c>
      <c r="G16" s="26">
        <f t="shared" si="1"/>
        <v>40000</v>
      </c>
    </row>
    <row r="17" spans="1:7" x14ac:dyDescent="0.25">
      <c r="A17" s="21">
        <v>44166</v>
      </c>
      <c r="B17">
        <v>11</v>
      </c>
      <c r="C17" s="26">
        <f>IF(B17&lt;='Калькулятор лизинга'!$F$16,'Калькулятор лизинга'!Y15,0)+IF(B17='Калькулятор лизинга'!$F$16,'Калькулятор лизинга'!$F$27)</f>
        <v>60000</v>
      </c>
      <c r="D17" s="16">
        <f>IF($J$2="нет",0,C17*'Калькулятор лизинга'!$K$11/(100+'Калькулятор лизинга'!$K$11))</f>
        <v>10000</v>
      </c>
      <c r="E17" s="26">
        <f t="shared" si="0"/>
        <v>50000</v>
      </c>
      <c r="F17" s="16">
        <f>IF($J$3="да",E17*'Калькулятор лизинга'!$K$9/100,0)</f>
        <v>10000</v>
      </c>
      <c r="G17" s="26">
        <f t="shared" si="1"/>
        <v>40000</v>
      </c>
    </row>
    <row r="18" spans="1:7" x14ac:dyDescent="0.25">
      <c r="A18" s="21">
        <v>44197</v>
      </c>
      <c r="B18">
        <v>12</v>
      </c>
      <c r="C18" s="26">
        <f>IF(B18&lt;='Калькулятор лизинга'!$F$16,'Калькулятор лизинга'!Y16,0)+IF(B18='Калькулятор лизинга'!$F$16,'Калькулятор лизинга'!$F$27)</f>
        <v>50000</v>
      </c>
      <c r="D18" s="16">
        <f>IF($J$2="нет",0,C18*'Калькулятор лизинга'!$K$11/(100+'Калькулятор лизинга'!$K$11))</f>
        <v>8333.3333333333339</v>
      </c>
      <c r="E18" s="26">
        <f t="shared" si="0"/>
        <v>41666.666666666664</v>
      </c>
      <c r="F18" s="16">
        <f>IF($J$3="да",E18*'Калькулятор лизинга'!$K$9/100,0)</f>
        <v>8333.3333333333321</v>
      </c>
      <c r="G18" s="26">
        <f t="shared" si="1"/>
        <v>33333.333333333328</v>
      </c>
    </row>
    <row r="19" spans="1:7" x14ac:dyDescent="0.25">
      <c r="A19" s="21">
        <v>44228</v>
      </c>
      <c r="B19">
        <v>13</v>
      </c>
      <c r="C19" s="26">
        <f>IF(B19&lt;='Калькулятор лизинга'!$F$16,'Калькулятор лизинга'!Y17,0)+IF(B19='Калькулятор лизинга'!$F$16,'Калькулятор лизинга'!$F$27)</f>
        <v>50000</v>
      </c>
      <c r="D19" s="16">
        <f>IF($J$2="нет",0,C19*'Калькулятор лизинга'!$K$11/(100+'Калькулятор лизинга'!$K$11))</f>
        <v>8333.3333333333339</v>
      </c>
      <c r="E19" s="26">
        <f t="shared" si="0"/>
        <v>41666.666666666664</v>
      </c>
      <c r="F19" s="16">
        <f>IF($J$3="да",E19*'Калькулятор лизинга'!$K$9/100,0)</f>
        <v>8333.3333333333321</v>
      </c>
      <c r="G19" s="26">
        <f t="shared" si="1"/>
        <v>33333.333333333328</v>
      </c>
    </row>
    <row r="20" spans="1:7" x14ac:dyDescent="0.25">
      <c r="A20" s="21">
        <v>44256</v>
      </c>
      <c r="B20">
        <v>14</v>
      </c>
      <c r="C20" s="26">
        <f>IF(B20&lt;='Калькулятор лизинга'!$F$16,'Калькулятор лизинга'!Y18,0)+IF(B20='Калькулятор лизинга'!$F$16,'Калькулятор лизинга'!$F$27)</f>
        <v>50000</v>
      </c>
      <c r="D20" s="16">
        <f>IF($J$2="нет",0,C20*'Калькулятор лизинга'!$K$11/(100+'Калькулятор лизинга'!$K$11))</f>
        <v>8333.3333333333339</v>
      </c>
      <c r="E20" s="26">
        <f t="shared" si="0"/>
        <v>41666.666666666664</v>
      </c>
      <c r="F20" s="16">
        <f>IF($J$3="да",E20*'Калькулятор лизинга'!$K$9/100,0)</f>
        <v>8333.3333333333321</v>
      </c>
      <c r="G20" s="26">
        <f t="shared" si="1"/>
        <v>33333.333333333328</v>
      </c>
    </row>
    <row r="21" spans="1:7" x14ac:dyDescent="0.25">
      <c r="A21" s="21">
        <v>44287</v>
      </c>
      <c r="B21">
        <v>15</v>
      </c>
      <c r="C21" s="26">
        <f>IF(B21&lt;='Калькулятор лизинга'!$F$16,'Калькулятор лизинга'!Y19,0)+IF(B21='Калькулятор лизинга'!$F$16,'Калькулятор лизинга'!$F$27)</f>
        <v>50000</v>
      </c>
      <c r="D21" s="16">
        <f>IF($J$2="нет",0,C21*'Калькулятор лизинга'!$K$11/(100+'Калькулятор лизинга'!$K$11))</f>
        <v>8333.3333333333339</v>
      </c>
      <c r="E21" s="26">
        <f t="shared" si="0"/>
        <v>41666.666666666664</v>
      </c>
      <c r="F21" s="16">
        <f>IF($J$3="да",E21*'Калькулятор лизинга'!$K$9/100,0)</f>
        <v>8333.3333333333321</v>
      </c>
      <c r="G21" s="26">
        <f t="shared" si="1"/>
        <v>33333.333333333328</v>
      </c>
    </row>
    <row r="22" spans="1:7" x14ac:dyDescent="0.25">
      <c r="A22" s="21">
        <v>44317</v>
      </c>
      <c r="B22">
        <v>16</v>
      </c>
      <c r="C22" s="26">
        <f>IF(B22&lt;='Калькулятор лизинга'!$F$16,'Калькулятор лизинга'!Y20,0)+IF(B22='Калькулятор лизинга'!$F$16,'Калькулятор лизинга'!$F$27)</f>
        <v>50000</v>
      </c>
      <c r="D22" s="16">
        <f>IF($J$2="нет",0,C22*'Калькулятор лизинга'!$K$11/(100+'Калькулятор лизинга'!$K$11))</f>
        <v>8333.3333333333339</v>
      </c>
      <c r="E22" s="26">
        <f t="shared" si="0"/>
        <v>41666.666666666664</v>
      </c>
      <c r="F22" s="16">
        <f>IF($J$3="да",E22*'Калькулятор лизинга'!$K$9/100,0)</f>
        <v>8333.3333333333321</v>
      </c>
      <c r="G22" s="26">
        <f t="shared" si="1"/>
        <v>33333.333333333328</v>
      </c>
    </row>
    <row r="23" spans="1:7" x14ac:dyDescent="0.25">
      <c r="A23" s="21">
        <v>44348</v>
      </c>
      <c r="B23">
        <v>17</v>
      </c>
      <c r="C23" s="26">
        <f>IF(B23&lt;='Калькулятор лизинга'!$F$16,'Калькулятор лизинга'!Y21,0)+IF(B23='Калькулятор лизинга'!$F$16,'Калькулятор лизинга'!$F$27)</f>
        <v>60000</v>
      </c>
      <c r="D23" s="16">
        <f>IF($J$2="нет",0,C23*'Калькулятор лизинга'!$K$11/(100+'Калькулятор лизинга'!$K$11))</f>
        <v>10000</v>
      </c>
      <c r="E23" s="26">
        <f t="shared" si="0"/>
        <v>50000</v>
      </c>
      <c r="F23" s="16">
        <f>IF($J$3="да",E23*'Калькулятор лизинга'!$K$9/100,0)</f>
        <v>10000</v>
      </c>
      <c r="G23" s="26">
        <f t="shared" si="1"/>
        <v>40000</v>
      </c>
    </row>
    <row r="24" spans="1:7" x14ac:dyDescent="0.25">
      <c r="A24" s="21">
        <v>44378</v>
      </c>
      <c r="B24">
        <v>18</v>
      </c>
      <c r="C24" s="26">
        <f>IF(B24&lt;='Калькулятор лизинга'!$F$16,'Калькулятор лизинга'!Y22,0)+IF(B24='Калькулятор лизинга'!$F$16,'Калькулятор лизинга'!$F$27)</f>
        <v>60000</v>
      </c>
      <c r="D24" s="16">
        <f>IF($J$2="нет",0,C24*'Калькулятор лизинга'!$K$11/(100+'Калькулятор лизинга'!$K$11))</f>
        <v>10000</v>
      </c>
      <c r="E24" s="26">
        <f t="shared" si="0"/>
        <v>50000</v>
      </c>
      <c r="F24" s="16">
        <f>IF($J$3="да",E24*'Калькулятор лизинга'!$K$9/100,0)</f>
        <v>10000</v>
      </c>
      <c r="G24" s="26">
        <f t="shared" si="1"/>
        <v>40000</v>
      </c>
    </row>
    <row r="25" spans="1:7" x14ac:dyDescent="0.25">
      <c r="A25" s="21">
        <v>44409</v>
      </c>
      <c r="B25">
        <v>19</v>
      </c>
      <c r="C25" s="26">
        <f>IF(B25&lt;='Калькулятор лизинга'!$F$16,'Калькулятор лизинга'!Y23,0)+IF(B25='Калькулятор лизинга'!$F$16,'Калькулятор лизинга'!$F$27)</f>
        <v>60000</v>
      </c>
      <c r="D25" s="16">
        <f>IF($J$2="нет",0,C25*'Калькулятор лизинга'!$K$11/(100+'Калькулятор лизинга'!$K$11))</f>
        <v>10000</v>
      </c>
      <c r="E25" s="26">
        <f t="shared" si="0"/>
        <v>50000</v>
      </c>
      <c r="F25" s="16">
        <f>IF($J$3="да",E25*'Калькулятор лизинга'!$K$9/100,0)</f>
        <v>10000</v>
      </c>
      <c r="G25" s="26">
        <f t="shared" si="1"/>
        <v>40000</v>
      </c>
    </row>
    <row r="26" spans="1:7" x14ac:dyDescent="0.25">
      <c r="A26" s="21">
        <v>44440</v>
      </c>
      <c r="B26">
        <v>20</v>
      </c>
      <c r="C26" s="26">
        <f>IF(B26&lt;='Калькулятор лизинга'!$F$16,'Калькулятор лизинга'!Y24,0)+IF(B26='Калькулятор лизинга'!$F$16,'Калькулятор лизинга'!$F$27)</f>
        <v>60000</v>
      </c>
      <c r="D26" s="16">
        <f>IF($J$2="нет",0,C26*'Калькулятор лизинга'!$K$11/(100+'Калькулятор лизинга'!$K$11))</f>
        <v>10000</v>
      </c>
      <c r="E26" s="26">
        <f t="shared" si="0"/>
        <v>50000</v>
      </c>
      <c r="F26" s="16">
        <f>IF($J$3="да",E26*'Калькулятор лизинга'!$K$9/100,0)</f>
        <v>10000</v>
      </c>
      <c r="G26" s="26">
        <f t="shared" si="1"/>
        <v>40000</v>
      </c>
    </row>
    <row r="27" spans="1:7" x14ac:dyDescent="0.25">
      <c r="A27" s="21">
        <v>44470</v>
      </c>
      <c r="B27">
        <v>21</v>
      </c>
      <c r="C27" s="26">
        <f>IF(B27&lt;='Калькулятор лизинга'!$F$16,'Калькулятор лизинга'!Y25,0)+IF(B27='Калькулятор лизинга'!$F$16,'Калькулятор лизинга'!$F$27)</f>
        <v>60000</v>
      </c>
      <c r="D27" s="16">
        <f>IF($J$2="нет",0,C27*'Калькулятор лизинга'!$K$11/(100+'Калькулятор лизинга'!$K$11))</f>
        <v>10000</v>
      </c>
      <c r="E27" s="26">
        <f t="shared" si="0"/>
        <v>50000</v>
      </c>
      <c r="F27" s="16">
        <f>IF($J$3="да",E27*'Калькулятор лизинга'!$K$9/100,0)</f>
        <v>10000</v>
      </c>
      <c r="G27" s="26">
        <f t="shared" si="1"/>
        <v>40000</v>
      </c>
    </row>
    <row r="28" spans="1:7" x14ac:dyDescent="0.25">
      <c r="A28" s="21">
        <v>44501</v>
      </c>
      <c r="B28">
        <v>22</v>
      </c>
      <c r="C28" s="26">
        <f>IF(B28&lt;='Калькулятор лизинга'!$F$16,'Калькулятор лизинга'!Y26,0)+IF(B28='Калькулятор лизинга'!$F$16,'Калькулятор лизинга'!$F$27)</f>
        <v>60000</v>
      </c>
      <c r="D28" s="16">
        <f>IF($J$2="нет",0,C28*'Калькулятор лизинга'!$K$11/(100+'Калькулятор лизинга'!$K$11))</f>
        <v>10000</v>
      </c>
      <c r="E28" s="26">
        <f t="shared" si="0"/>
        <v>50000</v>
      </c>
      <c r="F28" s="16">
        <f>IF($J$3="да",E28*'Калькулятор лизинга'!$K$9/100,0)</f>
        <v>10000</v>
      </c>
      <c r="G28" s="26">
        <f t="shared" si="1"/>
        <v>40000</v>
      </c>
    </row>
    <row r="29" spans="1:7" x14ac:dyDescent="0.25">
      <c r="A29" s="21">
        <v>44531</v>
      </c>
      <c r="B29">
        <v>23</v>
      </c>
      <c r="C29" s="26">
        <f>IF(B29&lt;='Калькулятор лизинга'!$F$16,'Калькулятор лизинга'!Y27,0)+IF(B29='Калькулятор лизинга'!$F$16,'Калькулятор лизинга'!$F$27)</f>
        <v>50000</v>
      </c>
      <c r="D29" s="16">
        <f>IF($J$2="нет",0,C29*'Калькулятор лизинга'!$K$11/(100+'Калькулятор лизинга'!$K$11))</f>
        <v>8333.3333333333339</v>
      </c>
      <c r="E29" s="26">
        <f t="shared" si="0"/>
        <v>41666.666666666664</v>
      </c>
      <c r="F29" s="16">
        <f>IF($J$3="да",E29*'Калькулятор лизинга'!$K$9/100,0)</f>
        <v>8333.3333333333321</v>
      </c>
      <c r="G29" s="26">
        <f t="shared" si="1"/>
        <v>33333.333333333328</v>
      </c>
    </row>
    <row r="30" spans="1:7" x14ac:dyDescent="0.25">
      <c r="A30" s="21">
        <v>44562</v>
      </c>
      <c r="B30">
        <v>24</v>
      </c>
      <c r="C30" s="26">
        <f>IF(B30&lt;='Калькулятор лизинга'!$F$16,'Калькулятор лизинга'!Y28,0)+IF(B30='Калькулятор лизинга'!$F$16,'Калькулятор лизинга'!$F$27)</f>
        <v>50000</v>
      </c>
      <c r="D30" s="16">
        <f>IF($J$2="нет",0,C30*'Калькулятор лизинга'!$K$11/(100+'Калькулятор лизинга'!$K$11))</f>
        <v>8333.3333333333339</v>
      </c>
      <c r="E30" s="26">
        <f t="shared" si="0"/>
        <v>41666.666666666664</v>
      </c>
      <c r="F30" s="16">
        <f>IF($J$3="да",E30*'Калькулятор лизинга'!$K$9/100,0)</f>
        <v>8333.3333333333321</v>
      </c>
      <c r="G30" s="26">
        <f t="shared" si="1"/>
        <v>33333.333333333328</v>
      </c>
    </row>
    <row r="31" spans="1:7" x14ac:dyDescent="0.25">
      <c r="A31" s="21">
        <v>44593</v>
      </c>
      <c r="B31">
        <v>25</v>
      </c>
      <c r="C31" s="26">
        <f>IF(B31&lt;='Калькулятор лизинга'!$F$16,'Калькулятор лизинга'!Y29,0)+IF(B31='Калькулятор лизинга'!$F$16,'Калькулятор лизинга'!$F$27)</f>
        <v>50000</v>
      </c>
      <c r="D31" s="16">
        <f>IF($J$2="нет",0,C31*'Калькулятор лизинга'!$K$11/(100+'Калькулятор лизинга'!$K$11))</f>
        <v>8333.3333333333339</v>
      </c>
      <c r="E31" s="26">
        <f t="shared" si="0"/>
        <v>41666.666666666664</v>
      </c>
      <c r="F31" s="16">
        <f>IF($J$3="да",E31*'Калькулятор лизинга'!$K$9/100,0)</f>
        <v>8333.3333333333321</v>
      </c>
      <c r="G31" s="26">
        <f t="shared" si="1"/>
        <v>33333.333333333328</v>
      </c>
    </row>
    <row r="32" spans="1:7" x14ac:dyDescent="0.25">
      <c r="A32" s="21">
        <v>44621</v>
      </c>
      <c r="B32">
        <v>26</v>
      </c>
      <c r="C32" s="26">
        <f>IF(B32&lt;='Калькулятор лизинга'!$F$16,'Калькулятор лизинга'!Y30,0)+IF(B32='Калькулятор лизинга'!$F$16,'Калькулятор лизинга'!$F$27)</f>
        <v>50000</v>
      </c>
      <c r="D32" s="16">
        <f>IF($J$2="нет",0,C32*'Калькулятор лизинга'!$K$11/(100+'Калькулятор лизинга'!$K$11))</f>
        <v>8333.3333333333339</v>
      </c>
      <c r="E32" s="26">
        <f t="shared" si="0"/>
        <v>41666.666666666664</v>
      </c>
      <c r="F32" s="16">
        <f>IF($J$3="да",E32*'Калькулятор лизинга'!$K$9/100,0)</f>
        <v>8333.3333333333321</v>
      </c>
      <c r="G32" s="26">
        <f t="shared" si="1"/>
        <v>33333.333333333328</v>
      </c>
    </row>
    <row r="33" spans="1:7" x14ac:dyDescent="0.25">
      <c r="A33" s="21">
        <v>44652</v>
      </c>
      <c r="B33">
        <v>27</v>
      </c>
      <c r="C33" s="26">
        <f>IF(B33&lt;='Калькулятор лизинга'!$F$16,'Калькулятор лизинга'!Y31,0)+IF(B33='Калькулятор лизинга'!$F$16,'Калькулятор лизинга'!$F$27)</f>
        <v>50000</v>
      </c>
      <c r="D33" s="16">
        <f>IF($J$2="нет",0,C33*'Калькулятор лизинга'!$K$11/(100+'Калькулятор лизинга'!$K$11))</f>
        <v>8333.3333333333339</v>
      </c>
      <c r="E33" s="26">
        <f t="shared" si="0"/>
        <v>41666.666666666664</v>
      </c>
      <c r="F33" s="16">
        <f>IF($J$3="да",E33*'Калькулятор лизинга'!$K$9/100,0)</f>
        <v>8333.3333333333321</v>
      </c>
      <c r="G33" s="26">
        <f t="shared" si="1"/>
        <v>33333.333333333328</v>
      </c>
    </row>
    <row r="34" spans="1:7" x14ac:dyDescent="0.25">
      <c r="A34" s="21">
        <v>44682</v>
      </c>
      <c r="B34">
        <v>28</v>
      </c>
      <c r="C34" s="26">
        <f>IF(B34&lt;='Калькулятор лизинга'!$F$16,'Калькулятор лизинга'!Y32,0)+IF(B34='Калькулятор лизинга'!$F$16,'Калькулятор лизинга'!$F$27)</f>
        <v>50000</v>
      </c>
      <c r="D34" s="16">
        <f>IF($J$2="нет",0,C34*'Калькулятор лизинга'!$K$11/(100+'Калькулятор лизинга'!$K$11))</f>
        <v>8333.3333333333339</v>
      </c>
      <c r="E34" s="26">
        <f t="shared" si="0"/>
        <v>41666.666666666664</v>
      </c>
      <c r="F34" s="16">
        <f>IF($J$3="да",E34*'Калькулятор лизинга'!$K$9/100,0)</f>
        <v>8333.3333333333321</v>
      </c>
      <c r="G34" s="26">
        <f t="shared" si="1"/>
        <v>33333.333333333328</v>
      </c>
    </row>
    <row r="35" spans="1:7" x14ac:dyDescent="0.25">
      <c r="A35" s="21">
        <v>44713</v>
      </c>
      <c r="B35">
        <v>29</v>
      </c>
      <c r="C35" s="26">
        <f>IF(B35&lt;='Калькулятор лизинга'!$F$16,'Калькулятор лизинга'!Y33,0)+IF(B35='Калькулятор лизинга'!$F$16,'Калькулятор лизинга'!$F$27)</f>
        <v>50000</v>
      </c>
      <c r="D35" s="16">
        <f>IF($J$2="нет",0,C35*'Калькулятор лизинга'!$K$11/(100+'Калькулятор лизинга'!$K$11))</f>
        <v>8333.3333333333339</v>
      </c>
      <c r="E35" s="26">
        <f t="shared" si="0"/>
        <v>41666.666666666664</v>
      </c>
      <c r="F35" s="16">
        <f>IF($J$3="да",E35*'Калькулятор лизинга'!$K$9/100,0)</f>
        <v>8333.3333333333321</v>
      </c>
      <c r="G35" s="26">
        <f t="shared" si="1"/>
        <v>33333.333333333328</v>
      </c>
    </row>
    <row r="36" spans="1:7" x14ac:dyDescent="0.25">
      <c r="A36" s="21">
        <v>44743</v>
      </c>
      <c r="B36">
        <v>30</v>
      </c>
      <c r="C36" s="26">
        <f>IF(B36&lt;='Калькулятор лизинга'!$F$16,'Калькулятор лизинга'!Y34,0)+IF(B36='Калькулятор лизинга'!$F$16,'Калькулятор лизинга'!$F$27)</f>
        <v>50000</v>
      </c>
      <c r="D36" s="16">
        <f>IF($J$2="нет",0,C36*'Калькулятор лизинга'!$K$11/(100+'Калькулятор лизинга'!$K$11))</f>
        <v>8333.3333333333339</v>
      </c>
      <c r="E36" s="26">
        <f t="shared" si="0"/>
        <v>41666.666666666664</v>
      </c>
      <c r="F36" s="16">
        <f>IF($J$3="да",E36*'Калькулятор лизинга'!$K$9/100,0)</f>
        <v>8333.3333333333321</v>
      </c>
      <c r="G36" s="26">
        <f t="shared" si="1"/>
        <v>33333.333333333328</v>
      </c>
    </row>
    <row r="37" spans="1:7" x14ac:dyDescent="0.25">
      <c r="A37" s="21">
        <v>44774</v>
      </c>
      <c r="B37">
        <v>31</v>
      </c>
      <c r="C37" s="26">
        <f>IF(B37&lt;='Калькулятор лизинга'!$F$16,'Калькулятор лизинга'!Y35,0)+IF(B37='Калькулятор лизинга'!$F$16,'Калькулятор лизинга'!$F$27)</f>
        <v>50000</v>
      </c>
      <c r="D37" s="16">
        <f>IF($J$2="нет",0,C37*'Калькулятор лизинга'!$K$11/(100+'Калькулятор лизинга'!$K$11))</f>
        <v>8333.3333333333339</v>
      </c>
      <c r="E37" s="26">
        <f t="shared" si="0"/>
        <v>41666.666666666664</v>
      </c>
      <c r="F37" s="16">
        <f>IF($J$3="да",E37*'Калькулятор лизинга'!$K$9/100,0)</f>
        <v>8333.3333333333321</v>
      </c>
      <c r="G37" s="26">
        <f t="shared" si="1"/>
        <v>33333.333333333328</v>
      </c>
    </row>
    <row r="38" spans="1:7" x14ac:dyDescent="0.25">
      <c r="A38" s="21">
        <v>44805</v>
      </c>
      <c r="B38">
        <v>32</v>
      </c>
      <c r="C38" s="26">
        <f>IF(B38&lt;='Калькулятор лизинга'!$F$16,'Калькулятор лизинга'!Y36,0)+IF(B38='Калькулятор лизинга'!$F$16,'Калькулятор лизинга'!$F$27)</f>
        <v>50000</v>
      </c>
      <c r="D38" s="16">
        <f>IF($J$2="нет",0,C38*'Калькулятор лизинга'!$K$11/(100+'Калькулятор лизинга'!$K$11))</f>
        <v>8333.3333333333339</v>
      </c>
      <c r="E38" s="26">
        <f t="shared" si="0"/>
        <v>41666.666666666664</v>
      </c>
      <c r="F38" s="16">
        <f>IF($J$3="да",E38*'Калькулятор лизинга'!$K$9/100,0)</f>
        <v>8333.3333333333321</v>
      </c>
      <c r="G38" s="26">
        <f t="shared" si="1"/>
        <v>33333.333333333328</v>
      </c>
    </row>
    <row r="39" spans="1:7" x14ac:dyDescent="0.25">
      <c r="A39" s="21">
        <v>44835</v>
      </c>
      <c r="B39">
        <v>33</v>
      </c>
      <c r="C39" s="26">
        <f>IF(B39&lt;='Калькулятор лизинга'!$F$16,'Калькулятор лизинга'!Y37,0)+IF(B39='Калькулятор лизинга'!$F$16,'Калькулятор лизинга'!$F$27)</f>
        <v>60000</v>
      </c>
      <c r="D39" s="16">
        <f>IF($J$2="нет",0,C39*'Калькулятор лизинга'!$K$11/(100+'Калькулятор лизинга'!$K$11))</f>
        <v>10000</v>
      </c>
      <c r="E39" s="26">
        <f t="shared" ref="E39:E70" si="2">C39-D39</f>
        <v>50000</v>
      </c>
      <c r="F39" s="16">
        <f>IF($J$3="да",E39*'Калькулятор лизинга'!$K$9/100,0)</f>
        <v>10000</v>
      </c>
      <c r="G39" s="26">
        <f t="shared" ref="G39:G70" si="3">E39-F39</f>
        <v>40000</v>
      </c>
    </row>
    <row r="40" spans="1:7" x14ac:dyDescent="0.25">
      <c r="A40" s="21">
        <v>44866</v>
      </c>
      <c r="B40">
        <v>34</v>
      </c>
      <c r="C40" s="26">
        <f>IF(B40&lt;='Калькулятор лизинга'!$F$16,'Калькулятор лизинга'!Y38,0)+IF(B40='Калькулятор лизинга'!$F$16,'Калькулятор лизинга'!$F$27)</f>
        <v>60000</v>
      </c>
      <c r="D40" s="16">
        <f>IF($J$2="нет",0,C40*'Калькулятор лизинга'!$K$11/(100+'Калькулятор лизинга'!$K$11))</f>
        <v>10000</v>
      </c>
      <c r="E40" s="26">
        <f t="shared" si="2"/>
        <v>50000</v>
      </c>
      <c r="F40" s="16">
        <f>IF($J$3="да",E40*'Калькулятор лизинга'!$K$9/100,0)</f>
        <v>10000</v>
      </c>
      <c r="G40" s="26">
        <f t="shared" si="3"/>
        <v>40000</v>
      </c>
    </row>
    <row r="41" spans="1:7" x14ac:dyDescent="0.25">
      <c r="A41" s="21">
        <v>44896</v>
      </c>
      <c r="B41">
        <v>35</v>
      </c>
      <c r="C41" s="26">
        <f>IF(B41&lt;='Калькулятор лизинга'!$F$16,'Калькулятор лизинга'!Y39,0)+IF(B41='Калькулятор лизинга'!$F$16,'Калькулятор лизинга'!$F$27)</f>
        <v>60000</v>
      </c>
      <c r="D41" s="16">
        <f>IF($J$2="нет",0,C41*'Калькулятор лизинга'!$K$11/(100+'Калькулятор лизинга'!$K$11))</f>
        <v>10000</v>
      </c>
      <c r="E41" s="26">
        <f t="shared" si="2"/>
        <v>50000</v>
      </c>
      <c r="F41" s="16">
        <f>IF($J$3="да",E41*'Калькулятор лизинга'!$K$9/100,0)</f>
        <v>10000</v>
      </c>
      <c r="G41" s="26">
        <f t="shared" si="3"/>
        <v>40000</v>
      </c>
    </row>
    <row r="42" spans="1:7" x14ac:dyDescent="0.25">
      <c r="A42" s="21">
        <v>44927</v>
      </c>
      <c r="B42">
        <v>36</v>
      </c>
      <c r="C42" s="26">
        <f>IF(B42&lt;='Калькулятор лизинга'!$F$16,'Калькулятор лизинга'!Y40,0)+IF(B42='Калькулятор лизинга'!$F$16,'Калькулятор лизинга'!$F$27)</f>
        <v>60000</v>
      </c>
      <c r="D42" s="16">
        <f>IF($J$2="нет",0,C42*'Калькулятор лизинга'!$K$11/(100+'Калькулятор лизинга'!$K$11))</f>
        <v>10000</v>
      </c>
      <c r="E42" s="26">
        <f t="shared" si="2"/>
        <v>50000</v>
      </c>
      <c r="F42" s="16">
        <f>IF($J$3="да",E42*'Калькулятор лизинга'!$K$9/100,0)</f>
        <v>10000</v>
      </c>
      <c r="G42" s="26">
        <f t="shared" si="3"/>
        <v>40000</v>
      </c>
    </row>
    <row r="43" spans="1:7" x14ac:dyDescent="0.25">
      <c r="A43" s="21">
        <v>44958</v>
      </c>
      <c r="B43">
        <v>37</v>
      </c>
      <c r="C43" s="26">
        <f>IF(B43&lt;='Калькулятор лизинга'!$F$16,'Калькулятор лизинга'!Y41,0)+IF(B43='Калькулятор лизинга'!$F$16,'Калькулятор лизинга'!$F$27)</f>
        <v>0</v>
      </c>
      <c r="D43" s="16">
        <f>IF($J$2="нет",0,C43*'Калькулятор лизинга'!$K$11/(100+'Калькулятор лизинга'!$K$11))</f>
        <v>0</v>
      </c>
      <c r="E43" s="26">
        <f t="shared" si="2"/>
        <v>0</v>
      </c>
      <c r="F43" s="16">
        <f>IF($J$3="да",E43*'Калькулятор лизинга'!$K$9/100,0)</f>
        <v>0</v>
      </c>
      <c r="G43" s="26">
        <f t="shared" si="3"/>
        <v>0</v>
      </c>
    </row>
    <row r="44" spans="1:7" x14ac:dyDescent="0.25">
      <c r="A44" s="21">
        <v>44986</v>
      </c>
      <c r="B44">
        <v>38</v>
      </c>
      <c r="C44" s="26">
        <f>IF(B44&lt;='Калькулятор лизинга'!$F$16,'Калькулятор лизинга'!Y42,0)+IF(B44='Калькулятор лизинга'!$F$16,'Калькулятор лизинга'!$F$27)</f>
        <v>0</v>
      </c>
      <c r="D44" s="16">
        <f>IF($J$2="нет",0,C44*'Калькулятор лизинга'!$K$11/(100+'Калькулятор лизинга'!$K$11))</f>
        <v>0</v>
      </c>
      <c r="E44" s="26">
        <f t="shared" si="2"/>
        <v>0</v>
      </c>
      <c r="F44" s="16">
        <f>IF($J$3="да",E44*'Калькулятор лизинга'!$K$9/100,0)</f>
        <v>0</v>
      </c>
      <c r="G44" s="26">
        <f t="shared" si="3"/>
        <v>0</v>
      </c>
    </row>
    <row r="45" spans="1:7" x14ac:dyDescent="0.25">
      <c r="A45" s="21">
        <v>45017</v>
      </c>
      <c r="B45">
        <v>39</v>
      </c>
      <c r="C45" s="26">
        <f>IF(B45&lt;='Калькулятор лизинга'!$F$16,'Калькулятор лизинга'!Y43,0)+IF(B45='Калькулятор лизинга'!$F$16,'Калькулятор лизинга'!$F$27)</f>
        <v>0</v>
      </c>
      <c r="D45" s="16">
        <f>IF($J$2="нет",0,C45*'Калькулятор лизинга'!$K$11/(100+'Калькулятор лизинга'!$K$11))</f>
        <v>0</v>
      </c>
      <c r="E45" s="26">
        <f t="shared" si="2"/>
        <v>0</v>
      </c>
      <c r="F45" s="16">
        <f>IF($J$3="да",E45*'Калькулятор лизинга'!$K$9/100,0)</f>
        <v>0</v>
      </c>
      <c r="G45" s="26">
        <f t="shared" si="3"/>
        <v>0</v>
      </c>
    </row>
    <row r="46" spans="1:7" x14ac:dyDescent="0.25">
      <c r="A46" s="21">
        <v>45047</v>
      </c>
      <c r="B46">
        <v>40</v>
      </c>
      <c r="C46" s="26">
        <f>IF(B46&lt;='Калькулятор лизинга'!$F$16,'Калькулятор лизинга'!Y44,0)+IF(B46='Калькулятор лизинга'!$F$16,'Калькулятор лизинга'!$F$27)</f>
        <v>0</v>
      </c>
      <c r="D46" s="16">
        <f>IF($J$2="нет",0,C46*'Калькулятор лизинга'!$K$11/(100+'Калькулятор лизинга'!$K$11))</f>
        <v>0</v>
      </c>
      <c r="E46" s="26">
        <f t="shared" si="2"/>
        <v>0</v>
      </c>
      <c r="F46" s="16">
        <f>IF($J$3="да",E46*'Калькулятор лизинга'!$K$9/100,0)</f>
        <v>0</v>
      </c>
      <c r="G46" s="26">
        <f t="shared" si="3"/>
        <v>0</v>
      </c>
    </row>
    <row r="47" spans="1:7" x14ac:dyDescent="0.25">
      <c r="A47" s="21">
        <v>45078</v>
      </c>
      <c r="B47">
        <v>41</v>
      </c>
      <c r="C47" s="26">
        <f>IF(B47&lt;='Калькулятор лизинга'!$F$16,'Калькулятор лизинга'!Y45,0)+IF(B47='Калькулятор лизинга'!$F$16,'Калькулятор лизинга'!$F$27)</f>
        <v>0</v>
      </c>
      <c r="D47" s="16">
        <f>IF($J$2="нет",0,C47*'Калькулятор лизинга'!$K$11/(100+'Калькулятор лизинга'!$K$11))</f>
        <v>0</v>
      </c>
      <c r="E47" s="26">
        <f t="shared" si="2"/>
        <v>0</v>
      </c>
      <c r="F47" s="16">
        <f>IF($J$3="да",E47*'Калькулятор лизинга'!$K$9/100,0)</f>
        <v>0</v>
      </c>
      <c r="G47" s="26">
        <f t="shared" si="3"/>
        <v>0</v>
      </c>
    </row>
    <row r="48" spans="1:7" x14ac:dyDescent="0.25">
      <c r="A48" s="21">
        <v>45108</v>
      </c>
      <c r="B48">
        <v>42</v>
      </c>
      <c r="C48" s="26">
        <f>IF(B48&lt;='Калькулятор лизинга'!$F$16,'Калькулятор лизинга'!Y46,0)+IF(B48='Калькулятор лизинга'!$F$16,'Калькулятор лизинга'!$F$27)</f>
        <v>0</v>
      </c>
      <c r="D48" s="16">
        <f>IF($J$2="нет",0,C48*'Калькулятор лизинга'!$K$11/(100+'Калькулятор лизинга'!$K$11))</f>
        <v>0</v>
      </c>
      <c r="E48" s="26">
        <f t="shared" si="2"/>
        <v>0</v>
      </c>
      <c r="F48" s="16">
        <f>IF($J$3="да",E48*'Калькулятор лизинга'!$K$9/100,0)</f>
        <v>0</v>
      </c>
      <c r="G48" s="26">
        <f t="shared" si="3"/>
        <v>0</v>
      </c>
    </row>
    <row r="49" spans="1:7" x14ac:dyDescent="0.25">
      <c r="A49" s="21">
        <v>45139</v>
      </c>
      <c r="B49">
        <v>43</v>
      </c>
      <c r="C49" s="26">
        <f>IF(B49&lt;='Калькулятор лизинга'!$F$16,'Калькулятор лизинга'!Y47,0)+IF(B49='Калькулятор лизинга'!$F$16,'Калькулятор лизинга'!$F$27)</f>
        <v>0</v>
      </c>
      <c r="D49" s="16">
        <f>IF($J$2="нет",0,C49*'Калькулятор лизинга'!$K$11/(100+'Калькулятор лизинга'!$K$11))</f>
        <v>0</v>
      </c>
      <c r="E49" s="26">
        <f t="shared" si="2"/>
        <v>0</v>
      </c>
      <c r="F49" s="16">
        <f>IF($J$3="да",E49*'Калькулятор лизинга'!$K$9/100,0)</f>
        <v>0</v>
      </c>
      <c r="G49" s="26">
        <f t="shared" si="3"/>
        <v>0</v>
      </c>
    </row>
    <row r="50" spans="1:7" x14ac:dyDescent="0.25">
      <c r="A50" s="21">
        <v>45170</v>
      </c>
      <c r="B50">
        <v>44</v>
      </c>
      <c r="C50" s="26">
        <f>IF(B50&lt;='Калькулятор лизинга'!$F$16,'Калькулятор лизинга'!Y48,0)+IF(B50='Калькулятор лизинга'!$F$16,'Калькулятор лизинга'!$F$27)</f>
        <v>0</v>
      </c>
      <c r="D50" s="16">
        <f>IF($J$2="нет",0,C50*'Калькулятор лизинга'!$K$11/(100+'Калькулятор лизинга'!$K$11))</f>
        <v>0</v>
      </c>
      <c r="E50" s="26">
        <f t="shared" si="2"/>
        <v>0</v>
      </c>
      <c r="F50" s="16">
        <f>IF($J$3="да",E50*'Калькулятор лизинга'!$K$9/100,0)</f>
        <v>0</v>
      </c>
      <c r="G50" s="26">
        <f t="shared" si="3"/>
        <v>0</v>
      </c>
    </row>
    <row r="51" spans="1:7" x14ac:dyDescent="0.25">
      <c r="A51" s="21">
        <v>45200</v>
      </c>
      <c r="B51">
        <v>45</v>
      </c>
      <c r="C51" s="26">
        <f>IF(B51&lt;='Калькулятор лизинга'!$F$16,'Калькулятор лизинга'!Y49,0)+IF(B51='Калькулятор лизинга'!$F$16,'Калькулятор лизинга'!$F$27)</f>
        <v>0</v>
      </c>
      <c r="D51" s="16">
        <f>IF($J$2="нет",0,C51*'Калькулятор лизинга'!$K$11/(100+'Калькулятор лизинга'!$K$11))</f>
        <v>0</v>
      </c>
      <c r="E51" s="26">
        <f t="shared" si="2"/>
        <v>0</v>
      </c>
      <c r="F51" s="16">
        <f>IF($J$3="да",E51*'Калькулятор лизинга'!$K$9/100,0)</f>
        <v>0</v>
      </c>
      <c r="G51" s="26">
        <f t="shared" si="3"/>
        <v>0</v>
      </c>
    </row>
    <row r="52" spans="1:7" x14ac:dyDescent="0.25">
      <c r="A52" s="21">
        <v>45231</v>
      </c>
      <c r="B52">
        <v>46</v>
      </c>
      <c r="C52" s="26">
        <f>IF(B52&lt;='Калькулятор лизинга'!$F$16,'Калькулятор лизинга'!Y50,0)+IF(B52='Калькулятор лизинга'!$F$16,'Калькулятор лизинга'!$F$27)</f>
        <v>0</v>
      </c>
      <c r="D52" s="16">
        <f>IF($J$2="нет",0,C52*'Калькулятор лизинга'!$K$11/(100+'Калькулятор лизинга'!$K$11))</f>
        <v>0</v>
      </c>
      <c r="E52" s="26">
        <f t="shared" si="2"/>
        <v>0</v>
      </c>
      <c r="F52" s="16">
        <f>IF($J$3="да",E52*'Калькулятор лизинга'!$K$9/100,0)</f>
        <v>0</v>
      </c>
      <c r="G52" s="26">
        <f t="shared" si="3"/>
        <v>0</v>
      </c>
    </row>
    <row r="53" spans="1:7" x14ac:dyDescent="0.25">
      <c r="A53" s="21">
        <v>45261</v>
      </c>
      <c r="B53">
        <v>47</v>
      </c>
      <c r="C53" s="26">
        <f>IF(B53&lt;='Калькулятор лизинга'!$F$16,'Калькулятор лизинга'!Y51,0)+IF(B53='Калькулятор лизинга'!$F$16,'Калькулятор лизинга'!$F$27)</f>
        <v>0</v>
      </c>
      <c r="D53" s="16">
        <f>IF($J$2="нет",0,C53*'Калькулятор лизинга'!$K$11/(100+'Калькулятор лизинга'!$K$11))</f>
        <v>0</v>
      </c>
      <c r="E53" s="26">
        <f t="shared" si="2"/>
        <v>0</v>
      </c>
      <c r="F53" s="16">
        <f>IF($J$3="да",E53*'Калькулятор лизинга'!$K$9/100,0)</f>
        <v>0</v>
      </c>
      <c r="G53" s="26">
        <f t="shared" si="3"/>
        <v>0</v>
      </c>
    </row>
    <row r="54" spans="1:7" x14ac:dyDescent="0.25">
      <c r="A54" s="21">
        <v>45292</v>
      </c>
      <c r="B54">
        <v>48</v>
      </c>
      <c r="C54" s="26">
        <f>IF(B54&lt;='Калькулятор лизинга'!$F$16,'Калькулятор лизинга'!Y52,0)+IF(B54='Калькулятор лизинга'!$F$16,'Калькулятор лизинга'!$F$27)</f>
        <v>0</v>
      </c>
      <c r="D54" s="16">
        <f>IF($J$2="нет",0,C54*'Калькулятор лизинга'!$K$11/(100+'Калькулятор лизинга'!$K$11))</f>
        <v>0</v>
      </c>
      <c r="E54" s="26">
        <f t="shared" si="2"/>
        <v>0</v>
      </c>
      <c r="F54" s="16">
        <f>IF($J$3="да",E54*'Калькулятор лизинга'!$K$9/100,0)</f>
        <v>0</v>
      </c>
      <c r="G54" s="26">
        <f t="shared" si="3"/>
        <v>0</v>
      </c>
    </row>
    <row r="55" spans="1:7" x14ac:dyDescent="0.25">
      <c r="A55" s="21">
        <v>45323</v>
      </c>
      <c r="B55">
        <v>49</v>
      </c>
      <c r="C55" s="26">
        <f>IF(B55&lt;='Калькулятор лизинга'!$F$16,'Калькулятор лизинга'!Y53,0)+IF(B55='Калькулятор лизинга'!$F$16,'Калькулятор лизинга'!$F$27)</f>
        <v>0</v>
      </c>
      <c r="D55" s="16">
        <f>IF($J$2="нет",0,C55*'Калькулятор лизинга'!$K$11/(100+'Калькулятор лизинга'!$K$11))</f>
        <v>0</v>
      </c>
      <c r="E55" s="26">
        <f t="shared" si="2"/>
        <v>0</v>
      </c>
      <c r="F55" s="16">
        <f>IF($J$3="да",E55*'Калькулятор лизинга'!$K$9/100,0)</f>
        <v>0</v>
      </c>
      <c r="G55" s="26">
        <f t="shared" si="3"/>
        <v>0</v>
      </c>
    </row>
    <row r="56" spans="1:7" x14ac:dyDescent="0.25">
      <c r="A56" s="21">
        <v>45352</v>
      </c>
      <c r="B56">
        <v>50</v>
      </c>
      <c r="C56" s="26">
        <f>IF(B56&lt;='Калькулятор лизинга'!$F$16,'Калькулятор лизинга'!Y54,0)+IF(B56='Калькулятор лизинга'!$F$16,'Калькулятор лизинга'!$F$27)</f>
        <v>0</v>
      </c>
      <c r="D56" s="16">
        <f>IF($J$2="нет",0,C56*'Калькулятор лизинга'!$K$11/(100+'Калькулятор лизинга'!$K$11))</f>
        <v>0</v>
      </c>
      <c r="E56" s="26">
        <f t="shared" si="2"/>
        <v>0</v>
      </c>
      <c r="F56" s="16">
        <f>IF($J$3="да",E56*'Калькулятор лизинга'!$K$9/100,0)</f>
        <v>0</v>
      </c>
      <c r="G56" s="26">
        <f t="shared" si="3"/>
        <v>0</v>
      </c>
    </row>
    <row r="57" spans="1:7" x14ac:dyDescent="0.25">
      <c r="A57" s="21">
        <v>45383</v>
      </c>
      <c r="B57">
        <v>51</v>
      </c>
      <c r="C57" s="26">
        <f>IF(B57&lt;='Калькулятор лизинга'!$F$16,'Калькулятор лизинга'!Y55,0)+IF(B57='Калькулятор лизинга'!$F$16,'Калькулятор лизинга'!$F$27)</f>
        <v>0</v>
      </c>
      <c r="D57" s="16">
        <f>IF($J$2="нет",0,C57*'Калькулятор лизинга'!$K$11/(100+'Калькулятор лизинга'!$K$11))</f>
        <v>0</v>
      </c>
      <c r="E57" s="26">
        <f t="shared" si="2"/>
        <v>0</v>
      </c>
      <c r="F57" s="16">
        <f>IF($J$3="да",E57*'Калькулятор лизинга'!$K$9/100,0)</f>
        <v>0</v>
      </c>
      <c r="G57" s="26">
        <f t="shared" si="3"/>
        <v>0</v>
      </c>
    </row>
    <row r="58" spans="1:7" x14ac:dyDescent="0.25">
      <c r="A58" s="21">
        <v>45413</v>
      </c>
      <c r="B58">
        <v>52</v>
      </c>
      <c r="C58" s="26">
        <f>IF(B58&lt;='Калькулятор лизинга'!$F$16,'Калькулятор лизинга'!Y56,0)+IF(B58='Калькулятор лизинга'!$F$16,'Калькулятор лизинга'!$F$27)</f>
        <v>0</v>
      </c>
      <c r="D58" s="16">
        <f>IF($J$2="нет",0,C58*'Калькулятор лизинга'!$K$11/(100+'Калькулятор лизинга'!$K$11))</f>
        <v>0</v>
      </c>
      <c r="E58" s="26">
        <f t="shared" si="2"/>
        <v>0</v>
      </c>
      <c r="F58" s="16">
        <f>IF($J$3="да",E58*'Калькулятор лизинга'!$K$9/100,0)</f>
        <v>0</v>
      </c>
      <c r="G58" s="26">
        <f t="shared" si="3"/>
        <v>0</v>
      </c>
    </row>
    <row r="59" spans="1:7" x14ac:dyDescent="0.25">
      <c r="A59" s="21">
        <v>45444</v>
      </c>
      <c r="B59">
        <v>53</v>
      </c>
      <c r="C59" s="26">
        <f>IF(B59&lt;='Калькулятор лизинга'!$F$16,'Калькулятор лизинга'!Y57,0)+IF(B59='Калькулятор лизинга'!$F$16,'Калькулятор лизинга'!$F$27)</f>
        <v>0</v>
      </c>
      <c r="D59" s="16">
        <f>IF($J$2="нет",0,C59*'Калькулятор лизинга'!$K$11/(100+'Калькулятор лизинга'!$K$11))</f>
        <v>0</v>
      </c>
      <c r="E59" s="26">
        <f t="shared" si="2"/>
        <v>0</v>
      </c>
      <c r="F59" s="16">
        <f>IF($J$3="да",E59*'Калькулятор лизинга'!$K$9/100,0)</f>
        <v>0</v>
      </c>
      <c r="G59" s="26">
        <f t="shared" si="3"/>
        <v>0</v>
      </c>
    </row>
    <row r="60" spans="1:7" x14ac:dyDescent="0.25">
      <c r="A60" s="21">
        <v>45474</v>
      </c>
      <c r="B60">
        <v>54</v>
      </c>
      <c r="C60" s="26">
        <f>IF(B60&lt;='Калькулятор лизинга'!$F$16,'Калькулятор лизинга'!Y58,0)+IF(B60='Калькулятор лизинга'!$F$16,'Калькулятор лизинга'!$F$27)</f>
        <v>0</v>
      </c>
      <c r="D60" s="16">
        <f>IF($J$2="нет",0,C60*'Калькулятор лизинга'!$K$11/(100+'Калькулятор лизинга'!$K$11))</f>
        <v>0</v>
      </c>
      <c r="E60" s="26">
        <f t="shared" si="2"/>
        <v>0</v>
      </c>
      <c r="F60" s="16">
        <f>IF($J$3="да",E60*'Калькулятор лизинга'!$K$9/100,0)</f>
        <v>0</v>
      </c>
      <c r="G60" s="26">
        <f t="shared" si="3"/>
        <v>0</v>
      </c>
    </row>
    <row r="61" spans="1:7" x14ac:dyDescent="0.25">
      <c r="A61" s="21">
        <v>45505</v>
      </c>
      <c r="B61">
        <v>55</v>
      </c>
      <c r="C61" s="26">
        <f>IF(B61&lt;='Калькулятор лизинга'!$F$16,'Калькулятор лизинга'!Y59,0)+IF(B61='Калькулятор лизинга'!$F$16,'Калькулятор лизинга'!$F$27)</f>
        <v>0</v>
      </c>
      <c r="D61" s="16">
        <f>IF($J$2="нет",0,C61*'Калькулятор лизинга'!$K$11/(100+'Калькулятор лизинга'!$K$11))</f>
        <v>0</v>
      </c>
      <c r="E61" s="26">
        <f t="shared" si="2"/>
        <v>0</v>
      </c>
      <c r="F61" s="16">
        <f>IF($J$3="да",E61*'Калькулятор лизинга'!$K$9/100,0)</f>
        <v>0</v>
      </c>
      <c r="G61" s="26">
        <f t="shared" si="3"/>
        <v>0</v>
      </c>
    </row>
    <row r="62" spans="1:7" x14ac:dyDescent="0.25">
      <c r="A62" s="21">
        <v>45536</v>
      </c>
      <c r="B62">
        <v>56</v>
      </c>
      <c r="C62" s="26">
        <f>IF(B62&lt;='Калькулятор лизинга'!$F$16,'Калькулятор лизинга'!Y60,0)+IF(B62='Калькулятор лизинга'!$F$16,'Калькулятор лизинга'!$F$27)</f>
        <v>0</v>
      </c>
      <c r="D62" s="16">
        <f>IF($J$2="нет",0,C62*'Калькулятор лизинга'!$K$11/(100+'Калькулятор лизинга'!$K$11))</f>
        <v>0</v>
      </c>
      <c r="E62" s="26">
        <f t="shared" si="2"/>
        <v>0</v>
      </c>
      <c r="F62" s="16">
        <f>IF($J$3="да",E62*'Калькулятор лизинга'!$K$9/100,0)</f>
        <v>0</v>
      </c>
      <c r="G62" s="26">
        <f t="shared" si="3"/>
        <v>0</v>
      </c>
    </row>
    <row r="63" spans="1:7" x14ac:dyDescent="0.25">
      <c r="A63" s="21">
        <v>45566</v>
      </c>
      <c r="B63">
        <v>57</v>
      </c>
      <c r="C63" s="26">
        <f>IF(B63&lt;='Калькулятор лизинга'!$F$16,'Калькулятор лизинга'!Y61,0)+IF(B63='Калькулятор лизинга'!$F$16,'Калькулятор лизинга'!$F$27)</f>
        <v>0</v>
      </c>
      <c r="D63" s="16">
        <f>IF($J$2="нет",0,C63*'Калькулятор лизинга'!$K$11/(100+'Калькулятор лизинга'!$K$11))</f>
        <v>0</v>
      </c>
      <c r="E63" s="26">
        <f t="shared" si="2"/>
        <v>0</v>
      </c>
      <c r="F63" s="16">
        <f>IF($J$3="да",E63*'Калькулятор лизинга'!$K$9/100,0)</f>
        <v>0</v>
      </c>
      <c r="G63" s="26">
        <f t="shared" si="3"/>
        <v>0</v>
      </c>
    </row>
    <row r="64" spans="1:7" x14ac:dyDescent="0.25">
      <c r="A64" s="21">
        <v>45597</v>
      </c>
      <c r="B64">
        <v>58</v>
      </c>
      <c r="C64" s="26">
        <f>IF(B64&lt;='Калькулятор лизинга'!$F$16,'Калькулятор лизинга'!Y62,0)+IF(B64='Калькулятор лизинга'!$F$16,'Калькулятор лизинга'!$F$27)</f>
        <v>0</v>
      </c>
      <c r="D64" s="16">
        <f>IF($J$2="нет",0,C64*'Калькулятор лизинга'!$K$11/(100+'Калькулятор лизинга'!$K$11))</f>
        <v>0</v>
      </c>
      <c r="E64" s="26">
        <f t="shared" si="2"/>
        <v>0</v>
      </c>
      <c r="F64" s="16">
        <f>IF($J$3="да",E64*'Калькулятор лизинга'!$K$9/100,0)</f>
        <v>0</v>
      </c>
      <c r="G64" s="26">
        <f t="shared" si="3"/>
        <v>0</v>
      </c>
    </row>
    <row r="65" spans="1:7" x14ac:dyDescent="0.25">
      <c r="A65" s="21">
        <v>45627</v>
      </c>
      <c r="B65">
        <v>59</v>
      </c>
      <c r="C65" s="26">
        <f>IF(B65&lt;='Калькулятор лизинга'!$F$16,'Калькулятор лизинга'!Y63,0)+IF(B65='Калькулятор лизинга'!$F$16,'Калькулятор лизинга'!$F$27)</f>
        <v>0</v>
      </c>
      <c r="D65" s="16">
        <f>IF($J$2="нет",0,C65*'Калькулятор лизинга'!$K$11/(100+'Калькулятор лизинга'!$K$11))</f>
        <v>0</v>
      </c>
      <c r="E65" s="26">
        <f t="shared" si="2"/>
        <v>0</v>
      </c>
      <c r="F65" s="16">
        <f>IF($J$3="да",E65*'Калькулятор лизинга'!$K$9/100,0)</f>
        <v>0</v>
      </c>
      <c r="G65" s="26">
        <f t="shared" si="3"/>
        <v>0</v>
      </c>
    </row>
    <row r="66" spans="1:7" x14ac:dyDescent="0.25">
      <c r="A66" s="21">
        <v>45658</v>
      </c>
      <c r="B66">
        <v>60</v>
      </c>
      <c r="C66" s="26">
        <f>IF(B66&lt;='Калькулятор лизинга'!$F$16,'Калькулятор лизинга'!Y64,0)+IF(B66='Калькулятор лизинга'!$F$16,'Калькулятор лизинга'!$F$27)</f>
        <v>0</v>
      </c>
      <c r="D66" s="16">
        <f>IF($J$2="нет",0,C66*'Калькулятор лизинга'!$K$11/(100+'Калькулятор лизинга'!$K$11))</f>
        <v>0</v>
      </c>
      <c r="E66" s="26">
        <f t="shared" si="2"/>
        <v>0</v>
      </c>
      <c r="F66" s="16">
        <f>IF($J$3="да",E66*'Калькулятор лизинга'!$K$9/100,0)</f>
        <v>0</v>
      </c>
      <c r="G66" s="26">
        <f t="shared" si="3"/>
        <v>0</v>
      </c>
    </row>
    <row r="67" spans="1:7" x14ac:dyDescent="0.25">
      <c r="A67" s="21">
        <v>45689</v>
      </c>
      <c r="B67">
        <v>61</v>
      </c>
      <c r="C67" s="26">
        <f>IF(B67&lt;='Калькулятор лизинга'!$F$16,'Калькулятор лизинга'!Y65,0)+IF(B67='Калькулятор лизинга'!$F$16,'Калькулятор лизинга'!$F$27)</f>
        <v>0</v>
      </c>
      <c r="D67" s="16">
        <f>IF($J$2="нет",0,C67*'Калькулятор лизинга'!$K$11/(100+'Калькулятор лизинга'!$K$11))</f>
        <v>0</v>
      </c>
      <c r="E67" s="26">
        <f t="shared" si="2"/>
        <v>0</v>
      </c>
      <c r="F67" s="16">
        <f>IF($J$3="да",E67*'Калькулятор лизинга'!$K$9/100,0)</f>
        <v>0</v>
      </c>
      <c r="G67" s="26">
        <f t="shared" si="3"/>
        <v>0</v>
      </c>
    </row>
    <row r="68" spans="1:7" x14ac:dyDescent="0.25">
      <c r="A68" s="21">
        <v>45717</v>
      </c>
      <c r="B68">
        <v>62</v>
      </c>
      <c r="C68" s="26">
        <f>IF(B68&lt;='Калькулятор лизинга'!$F$16,'Калькулятор лизинга'!Y66,0)+IF(B68='Калькулятор лизинга'!$F$16,'Калькулятор лизинга'!$F$27)</f>
        <v>0</v>
      </c>
      <c r="D68" s="16">
        <f>IF($J$2="нет",0,C68*'Калькулятор лизинга'!$K$11/(100+'Калькулятор лизинга'!$K$11))</f>
        <v>0</v>
      </c>
      <c r="E68" s="26">
        <f t="shared" si="2"/>
        <v>0</v>
      </c>
      <c r="F68" s="16">
        <f>IF($J$3="да",E68*'Калькулятор лизинга'!$K$9/100,0)</f>
        <v>0</v>
      </c>
      <c r="G68" s="26">
        <f t="shared" si="3"/>
        <v>0</v>
      </c>
    </row>
    <row r="69" spans="1:7" x14ac:dyDescent="0.25">
      <c r="A69" s="21">
        <v>45748</v>
      </c>
      <c r="B69">
        <v>63</v>
      </c>
      <c r="C69" s="26">
        <f>IF(B69&lt;='Калькулятор лизинга'!$F$16,'Калькулятор лизинга'!Y67,0)+IF(B69='Калькулятор лизинга'!$F$16,'Калькулятор лизинга'!$F$27)</f>
        <v>0</v>
      </c>
      <c r="D69" s="16">
        <f>IF($J$2="нет",0,C69*'Калькулятор лизинга'!$K$11/(100+'Калькулятор лизинга'!$K$11))</f>
        <v>0</v>
      </c>
      <c r="E69" s="26">
        <f t="shared" si="2"/>
        <v>0</v>
      </c>
      <c r="F69" s="16">
        <f>IF($J$3="да",E69*'Калькулятор лизинга'!$K$9/100,0)</f>
        <v>0</v>
      </c>
      <c r="G69" s="26">
        <f t="shared" si="3"/>
        <v>0</v>
      </c>
    </row>
    <row r="70" spans="1:7" x14ac:dyDescent="0.25">
      <c r="A70" s="21">
        <v>45778</v>
      </c>
      <c r="B70">
        <v>64</v>
      </c>
      <c r="C70" s="26">
        <f>IF(B70&lt;='Калькулятор лизинга'!$F$16,'Калькулятор лизинга'!Y68,0)+IF(B70='Калькулятор лизинга'!$F$16,'Калькулятор лизинга'!$F$27)</f>
        <v>0</v>
      </c>
      <c r="D70" s="16">
        <f>IF($J$2="нет",0,C70*'Калькулятор лизинга'!$K$11/(100+'Калькулятор лизинга'!$K$11))</f>
        <v>0</v>
      </c>
      <c r="E70" s="26">
        <f t="shared" si="2"/>
        <v>0</v>
      </c>
      <c r="F70" s="16">
        <f>IF($J$3="да",E70*'Калькулятор лизинга'!$K$9/100,0)</f>
        <v>0</v>
      </c>
      <c r="G70" s="26">
        <f t="shared" si="3"/>
        <v>0</v>
      </c>
    </row>
    <row r="71" spans="1:7" x14ac:dyDescent="0.25">
      <c r="A71" s="21">
        <v>45809</v>
      </c>
      <c r="B71">
        <v>65</v>
      </c>
      <c r="C71" s="26">
        <f>IF(B71&lt;='Калькулятор лизинга'!$F$16,'Калькулятор лизинга'!Y69,0)+IF(B71='Калькулятор лизинга'!$F$16,'Калькулятор лизинга'!$F$27)</f>
        <v>0</v>
      </c>
      <c r="D71" s="16">
        <f>IF($J$2="нет",0,C71*'Калькулятор лизинга'!$K$11/(100+'Калькулятор лизинга'!$K$11))</f>
        <v>0</v>
      </c>
      <c r="E71" s="26">
        <f t="shared" ref="E71:E102" si="4">C71-D71</f>
        <v>0</v>
      </c>
      <c r="F71" s="16">
        <f>IF($J$3="да",E71*'Калькулятор лизинга'!$K$9/100,0)</f>
        <v>0</v>
      </c>
      <c r="G71" s="26">
        <f t="shared" ref="G71:G102" si="5">E71-F71</f>
        <v>0</v>
      </c>
    </row>
    <row r="72" spans="1:7" x14ac:dyDescent="0.25">
      <c r="A72" s="21">
        <v>45839</v>
      </c>
      <c r="B72">
        <v>66</v>
      </c>
      <c r="C72" s="26">
        <f>IF(B72&lt;='Калькулятор лизинга'!$F$16,'Калькулятор лизинга'!Y70,0)+IF(B72='Калькулятор лизинга'!$F$16,'Калькулятор лизинга'!$F$27)</f>
        <v>0</v>
      </c>
      <c r="D72" s="16">
        <f>IF($J$2="нет",0,C72*'Калькулятор лизинга'!$K$11/(100+'Калькулятор лизинга'!$K$11))</f>
        <v>0</v>
      </c>
      <c r="E72" s="26">
        <f t="shared" si="4"/>
        <v>0</v>
      </c>
      <c r="F72" s="16">
        <f>IF($J$3="да",E72*'Калькулятор лизинга'!$K$9/100,0)</f>
        <v>0</v>
      </c>
      <c r="G72" s="26">
        <f t="shared" si="5"/>
        <v>0</v>
      </c>
    </row>
    <row r="73" spans="1:7" x14ac:dyDescent="0.25">
      <c r="A73" s="21">
        <v>45870</v>
      </c>
      <c r="B73">
        <v>67</v>
      </c>
      <c r="C73" s="26">
        <f>IF(B73&lt;='Калькулятор лизинга'!$F$16,'Калькулятор лизинга'!Y71,0)+IF(B73='Калькулятор лизинга'!$F$16,'Калькулятор лизинга'!$F$27)</f>
        <v>0</v>
      </c>
      <c r="D73" s="16">
        <f>IF($J$2="нет",0,C73*'Калькулятор лизинга'!$K$11/(100+'Калькулятор лизинга'!$K$11))</f>
        <v>0</v>
      </c>
      <c r="E73" s="26">
        <f t="shared" si="4"/>
        <v>0</v>
      </c>
      <c r="F73" s="16">
        <f>IF($J$3="да",E73*'Калькулятор лизинга'!$K$9/100,0)</f>
        <v>0</v>
      </c>
      <c r="G73" s="26">
        <f t="shared" si="5"/>
        <v>0</v>
      </c>
    </row>
    <row r="74" spans="1:7" x14ac:dyDescent="0.25">
      <c r="A74" s="21">
        <v>45901</v>
      </c>
      <c r="B74">
        <v>68</v>
      </c>
      <c r="C74" s="26">
        <f>IF(B74&lt;='Калькулятор лизинга'!$F$16,'Калькулятор лизинга'!Y72,0)+IF(B74='Калькулятор лизинга'!$F$16,'Калькулятор лизинга'!$F$27)</f>
        <v>0</v>
      </c>
      <c r="D74" s="16">
        <f>IF($J$2="нет",0,C74*'Калькулятор лизинга'!$K$11/(100+'Калькулятор лизинга'!$K$11))</f>
        <v>0</v>
      </c>
      <c r="E74" s="26">
        <f t="shared" si="4"/>
        <v>0</v>
      </c>
      <c r="F74" s="16">
        <f>IF($J$3="да",E74*'Калькулятор лизинга'!$K$9/100,0)</f>
        <v>0</v>
      </c>
      <c r="G74" s="26">
        <f t="shared" si="5"/>
        <v>0</v>
      </c>
    </row>
    <row r="75" spans="1:7" x14ac:dyDescent="0.25">
      <c r="A75" s="21">
        <v>45931</v>
      </c>
      <c r="B75">
        <v>69</v>
      </c>
      <c r="C75" s="26">
        <f>IF(B75&lt;='Калькулятор лизинга'!$F$16,'Калькулятор лизинга'!Y73,0)+IF(B75='Калькулятор лизинга'!$F$16,'Калькулятор лизинга'!$F$27)</f>
        <v>0</v>
      </c>
      <c r="D75" s="16">
        <f>IF($J$2="нет",0,C75*'Калькулятор лизинга'!$K$11/(100+'Калькулятор лизинга'!$K$11))</f>
        <v>0</v>
      </c>
      <c r="E75" s="26">
        <f t="shared" si="4"/>
        <v>0</v>
      </c>
      <c r="F75" s="16">
        <f>IF($J$3="да",E75*'Калькулятор лизинга'!$K$9/100,0)</f>
        <v>0</v>
      </c>
      <c r="G75" s="26">
        <f t="shared" si="5"/>
        <v>0</v>
      </c>
    </row>
    <row r="76" spans="1:7" x14ac:dyDescent="0.25">
      <c r="A76" s="21">
        <v>45962</v>
      </c>
      <c r="B76">
        <v>70</v>
      </c>
      <c r="C76" s="26">
        <f>IF(B76&lt;='Калькулятор лизинга'!$F$16,'Калькулятор лизинга'!Y74,0)+IF(B76='Калькулятор лизинга'!$F$16,'Калькулятор лизинга'!$F$27)</f>
        <v>0</v>
      </c>
      <c r="D76" s="16">
        <f>IF($J$2="нет",0,C76*'Калькулятор лизинга'!$K$11/(100+'Калькулятор лизинга'!$K$11))</f>
        <v>0</v>
      </c>
      <c r="E76" s="26">
        <f t="shared" si="4"/>
        <v>0</v>
      </c>
      <c r="F76" s="16">
        <f>IF($J$3="да",E76*'Калькулятор лизинга'!$K$9/100,0)</f>
        <v>0</v>
      </c>
      <c r="G76" s="26">
        <f t="shared" si="5"/>
        <v>0</v>
      </c>
    </row>
    <row r="77" spans="1:7" x14ac:dyDescent="0.25">
      <c r="A77" s="21">
        <v>45992</v>
      </c>
      <c r="B77">
        <v>71</v>
      </c>
      <c r="C77" s="26">
        <f>IF(B77&lt;='Калькулятор лизинга'!$F$16,'Калькулятор лизинга'!Y75,0)+IF(B77='Калькулятор лизинга'!$F$16,'Калькулятор лизинга'!$F$27)</f>
        <v>0</v>
      </c>
      <c r="D77" s="16">
        <f>IF($J$2="нет",0,C77*'Калькулятор лизинга'!$K$11/(100+'Калькулятор лизинга'!$K$11))</f>
        <v>0</v>
      </c>
      <c r="E77" s="26">
        <f t="shared" si="4"/>
        <v>0</v>
      </c>
      <c r="F77" s="16">
        <f>IF($J$3="да",E77*'Калькулятор лизинга'!$K$9/100,0)</f>
        <v>0</v>
      </c>
      <c r="G77" s="26">
        <f t="shared" si="5"/>
        <v>0</v>
      </c>
    </row>
    <row r="78" spans="1:7" x14ac:dyDescent="0.25">
      <c r="A78" s="21">
        <v>46023</v>
      </c>
      <c r="B78">
        <v>72</v>
      </c>
      <c r="C78" s="26">
        <f>IF(B78&lt;='Калькулятор лизинга'!$F$16,'Калькулятор лизинга'!Y76,0)+IF(B78='Калькулятор лизинга'!$F$16,'Калькулятор лизинга'!$F$27)</f>
        <v>1000</v>
      </c>
      <c r="D78" s="16">
        <f>IF($J$2="нет",0,C78*'Калькулятор лизинга'!$K$11/(100+'Калькулятор лизинга'!$K$11))</f>
        <v>166.66666666666666</v>
      </c>
      <c r="E78" s="26">
        <f t="shared" si="4"/>
        <v>833.33333333333337</v>
      </c>
      <c r="F78" s="16">
        <f>IF($J$3="да",E78*'Калькулятор лизинга'!$K$9/100,0)</f>
        <v>166.66666666666669</v>
      </c>
      <c r="G78" s="26">
        <f t="shared" si="5"/>
        <v>666.66666666666674</v>
      </c>
    </row>
    <row r="79" spans="1:7" x14ac:dyDescent="0.25">
      <c r="A79" s="21">
        <v>46054</v>
      </c>
      <c r="B79">
        <v>73</v>
      </c>
      <c r="C79" s="26">
        <f>IF(B79&lt;='Калькулятор лизинга'!$F$16,'Калькулятор лизинга'!Y77,0)+IF(B79='Калькулятор лизинга'!$F$16,'Калькулятор лизинга'!$F$27)</f>
        <v>0</v>
      </c>
      <c r="D79" s="16">
        <f>IF($J$2="нет",0,C79*'Калькулятор лизинга'!$K$11/(100+'Калькулятор лизинга'!$K$11))</f>
        <v>0</v>
      </c>
      <c r="E79" s="26">
        <f t="shared" si="4"/>
        <v>0</v>
      </c>
      <c r="F79" s="16">
        <f>IF($J$3="да",E79*'Калькулятор лизинга'!$K$9/100,0)</f>
        <v>0</v>
      </c>
      <c r="G79" s="26">
        <f t="shared" si="5"/>
        <v>0</v>
      </c>
    </row>
    <row r="80" spans="1:7" x14ac:dyDescent="0.25">
      <c r="A80" s="21">
        <v>46082</v>
      </c>
      <c r="B80">
        <v>74</v>
      </c>
      <c r="C80" s="26">
        <f>IF(B80&lt;='Калькулятор лизинга'!$F$16,'Калькулятор лизинга'!Y78,0)+IF(B80='Калькулятор лизинга'!$F$16,'Калькулятор лизинга'!$F$27)</f>
        <v>0</v>
      </c>
      <c r="D80" s="16">
        <f>IF($J$2="нет",0,C80*'Калькулятор лизинга'!$K$11/(100+'Калькулятор лизинга'!$K$11))</f>
        <v>0</v>
      </c>
      <c r="E80" s="26">
        <f t="shared" si="4"/>
        <v>0</v>
      </c>
      <c r="F80" s="16">
        <f>IF($J$3="да",E80*'Калькулятор лизинга'!$K$9/100,0)</f>
        <v>0</v>
      </c>
      <c r="G80" s="26">
        <f t="shared" si="5"/>
        <v>0</v>
      </c>
    </row>
    <row r="81" spans="1:7" x14ac:dyDescent="0.25">
      <c r="A81" s="21">
        <v>46113</v>
      </c>
      <c r="B81">
        <v>75</v>
      </c>
      <c r="C81" s="26">
        <f>IF(B81&lt;='Калькулятор лизинга'!$F$16,'Калькулятор лизинга'!Y79,0)+IF(B81='Калькулятор лизинга'!$F$16,'Калькулятор лизинга'!$F$27)</f>
        <v>0</v>
      </c>
      <c r="D81" s="16">
        <f>IF($J$2="нет",0,C81*'Калькулятор лизинга'!$K$11/(100+'Калькулятор лизинга'!$K$11))</f>
        <v>0</v>
      </c>
      <c r="E81" s="26">
        <f t="shared" si="4"/>
        <v>0</v>
      </c>
      <c r="F81" s="16">
        <f>IF($J$3="да",E81*'Калькулятор лизинга'!$K$9/100,0)</f>
        <v>0</v>
      </c>
      <c r="G81" s="26">
        <f t="shared" si="5"/>
        <v>0</v>
      </c>
    </row>
    <row r="82" spans="1:7" x14ac:dyDescent="0.25">
      <c r="A82" s="21">
        <v>46143</v>
      </c>
      <c r="B82">
        <v>76</v>
      </c>
      <c r="C82" s="26">
        <f>IF(B82&lt;='Калькулятор лизинга'!$F$16,'Калькулятор лизинга'!Y80,0)+IF(B82='Калькулятор лизинга'!$F$16,'Калькулятор лизинга'!$F$27)</f>
        <v>0</v>
      </c>
      <c r="D82" s="16">
        <f>IF($J$2="нет",0,C82*'Калькулятор лизинга'!$K$11/(100+'Калькулятор лизинга'!$K$11))</f>
        <v>0</v>
      </c>
      <c r="E82" s="26">
        <f t="shared" si="4"/>
        <v>0</v>
      </c>
      <c r="F82" s="16">
        <f>IF($J$3="да",E82*'Калькулятор лизинга'!$K$9/100,0)</f>
        <v>0</v>
      </c>
      <c r="G82" s="26">
        <f t="shared" si="5"/>
        <v>0</v>
      </c>
    </row>
    <row r="83" spans="1:7" x14ac:dyDescent="0.25">
      <c r="A83" s="21">
        <v>46174</v>
      </c>
      <c r="B83">
        <v>77</v>
      </c>
      <c r="C83" s="26">
        <f>IF(B83&lt;='Калькулятор лизинга'!$F$16,'Калькулятор лизинга'!Y81,0)+IF(B83='Калькулятор лизинга'!$F$16,'Калькулятор лизинга'!$F$27)</f>
        <v>0</v>
      </c>
      <c r="D83" s="16">
        <f>IF($J$2="нет",0,C83*'Калькулятор лизинга'!$K$11/(100+'Калькулятор лизинга'!$K$11))</f>
        <v>0</v>
      </c>
      <c r="E83" s="26">
        <f t="shared" si="4"/>
        <v>0</v>
      </c>
      <c r="F83" s="16">
        <f>IF($J$3="да",E83*'Калькулятор лизинга'!$K$9/100,0)</f>
        <v>0</v>
      </c>
      <c r="G83" s="26">
        <f t="shared" si="5"/>
        <v>0</v>
      </c>
    </row>
    <row r="84" spans="1:7" x14ac:dyDescent="0.25">
      <c r="A84" s="21">
        <v>46204</v>
      </c>
      <c r="B84">
        <v>78</v>
      </c>
      <c r="C84" s="26">
        <f>IF(B84&lt;='Калькулятор лизинга'!$F$16,'Калькулятор лизинга'!Y82,0)+IF(B84='Калькулятор лизинга'!$F$16,'Калькулятор лизинга'!$F$27)</f>
        <v>0</v>
      </c>
      <c r="D84" s="16">
        <f>IF($J$2="нет",0,C84*'Калькулятор лизинга'!$K$11/(100+'Калькулятор лизинга'!$K$11))</f>
        <v>0</v>
      </c>
      <c r="E84" s="26">
        <f t="shared" si="4"/>
        <v>0</v>
      </c>
      <c r="F84" s="16">
        <f>IF($J$3="да",E84*'Калькулятор лизинга'!$K$9/100,0)</f>
        <v>0</v>
      </c>
      <c r="G84" s="26">
        <f t="shared" si="5"/>
        <v>0</v>
      </c>
    </row>
    <row r="85" spans="1:7" x14ac:dyDescent="0.25">
      <c r="A85" s="21">
        <v>46235</v>
      </c>
      <c r="B85">
        <v>79</v>
      </c>
      <c r="C85" s="26">
        <f>IF(B85&lt;='Калькулятор лизинга'!$F$16,'Калькулятор лизинга'!Y83,0)+IF(B85='Калькулятор лизинга'!$F$16,'Калькулятор лизинга'!$F$27)</f>
        <v>0</v>
      </c>
      <c r="D85" s="16">
        <f>IF($J$2="нет",0,C85*'Калькулятор лизинга'!$K$11/(100+'Калькулятор лизинга'!$K$11))</f>
        <v>0</v>
      </c>
      <c r="E85" s="26">
        <f t="shared" si="4"/>
        <v>0</v>
      </c>
      <c r="F85" s="16">
        <f>IF($J$3="да",E85*'Калькулятор лизинга'!$K$9/100,0)</f>
        <v>0</v>
      </c>
      <c r="G85" s="26">
        <f t="shared" si="5"/>
        <v>0</v>
      </c>
    </row>
    <row r="86" spans="1:7" x14ac:dyDescent="0.25">
      <c r="A86" s="21">
        <v>46266</v>
      </c>
      <c r="B86">
        <v>80</v>
      </c>
      <c r="C86" s="26">
        <f>IF(B86&lt;='Калькулятор лизинга'!$F$16,'Калькулятор лизинга'!Y84,0)+IF(B86='Калькулятор лизинга'!$F$16,'Калькулятор лизинга'!$F$27)</f>
        <v>0</v>
      </c>
      <c r="D86" s="16">
        <f>IF($J$2="нет",0,C86*'Калькулятор лизинга'!$K$11/(100+'Калькулятор лизинга'!$K$11))</f>
        <v>0</v>
      </c>
      <c r="E86" s="26">
        <f t="shared" si="4"/>
        <v>0</v>
      </c>
      <c r="F86" s="16">
        <f>IF($J$3="да",E86*'Калькулятор лизинга'!$K$9/100,0)</f>
        <v>0</v>
      </c>
      <c r="G86" s="26">
        <f t="shared" si="5"/>
        <v>0</v>
      </c>
    </row>
    <row r="87" spans="1:7" x14ac:dyDescent="0.25">
      <c r="A87" s="21">
        <v>46296</v>
      </c>
      <c r="B87">
        <v>81</v>
      </c>
      <c r="C87" s="26">
        <f>IF(B87&lt;='Калькулятор лизинга'!$F$16,'Калькулятор лизинга'!Y85,0)+IF(B87='Калькулятор лизинга'!$F$16,'Калькулятор лизинга'!$F$27)</f>
        <v>0</v>
      </c>
      <c r="D87" s="16">
        <f>IF($J$2="нет",0,C87*'Калькулятор лизинга'!$K$11/(100+'Калькулятор лизинга'!$K$11))</f>
        <v>0</v>
      </c>
      <c r="E87" s="26">
        <f t="shared" si="4"/>
        <v>0</v>
      </c>
      <c r="F87" s="16">
        <f>IF($J$3="да",E87*'Калькулятор лизинга'!$K$9/100,0)</f>
        <v>0</v>
      </c>
      <c r="G87" s="26">
        <f t="shared" si="5"/>
        <v>0</v>
      </c>
    </row>
    <row r="88" spans="1:7" x14ac:dyDescent="0.25">
      <c r="A88" s="21">
        <v>46327</v>
      </c>
      <c r="B88">
        <v>82</v>
      </c>
      <c r="C88" s="26">
        <f>IF(B88&lt;='Калькулятор лизинга'!$F$16,'Калькулятор лизинга'!Y86,0)+IF(B88='Калькулятор лизинга'!$F$16,'Калькулятор лизинга'!$F$27)</f>
        <v>0</v>
      </c>
      <c r="D88" s="16">
        <f>IF($J$2="нет",0,C88*'Калькулятор лизинга'!$K$11/(100+'Калькулятор лизинга'!$K$11))</f>
        <v>0</v>
      </c>
      <c r="E88" s="26">
        <f t="shared" si="4"/>
        <v>0</v>
      </c>
      <c r="F88" s="16">
        <f>IF($J$3="да",E88*'Калькулятор лизинга'!$K$9/100,0)</f>
        <v>0</v>
      </c>
      <c r="G88" s="26">
        <f t="shared" si="5"/>
        <v>0</v>
      </c>
    </row>
    <row r="89" spans="1:7" x14ac:dyDescent="0.25">
      <c r="A89" s="21">
        <v>46357</v>
      </c>
      <c r="B89">
        <v>83</v>
      </c>
      <c r="C89" s="26">
        <f>IF(B89&lt;='Калькулятор лизинга'!$F$16,'Калькулятор лизинга'!Y87,0)+IF(B89='Калькулятор лизинга'!$F$16,'Калькулятор лизинга'!$F$27)</f>
        <v>0</v>
      </c>
      <c r="D89" s="16">
        <f>IF($J$2="нет",0,C89*'Калькулятор лизинга'!$K$11/(100+'Калькулятор лизинга'!$K$11))</f>
        <v>0</v>
      </c>
      <c r="E89" s="26">
        <f t="shared" si="4"/>
        <v>0</v>
      </c>
      <c r="F89" s="16">
        <f>IF($J$3="да",E89*'Калькулятор лизинга'!$K$9/100,0)</f>
        <v>0</v>
      </c>
      <c r="G89" s="26">
        <f t="shared" si="5"/>
        <v>0</v>
      </c>
    </row>
    <row r="90" spans="1:7" x14ac:dyDescent="0.25">
      <c r="A90" s="21">
        <v>46388</v>
      </c>
      <c r="B90">
        <v>84</v>
      </c>
      <c r="C90" s="26">
        <f>IF(B90&lt;='Калькулятор лизинга'!$F$16,'Калькулятор лизинга'!Y88,0)+IF(B90='Калькулятор лизинга'!$F$16,'Калькулятор лизинга'!$F$27)</f>
        <v>0</v>
      </c>
      <c r="D90" s="16">
        <f>IF($J$2="нет",0,C90*'Калькулятор лизинга'!$K$11/(100+'Калькулятор лизинга'!$K$11))</f>
        <v>0</v>
      </c>
      <c r="E90" s="26">
        <f t="shared" si="4"/>
        <v>0</v>
      </c>
      <c r="F90" s="16">
        <f>IF($J$3="да",E90*'Калькулятор лизинга'!$K$9/100,0)</f>
        <v>0</v>
      </c>
      <c r="G90" s="26">
        <f t="shared" si="5"/>
        <v>0</v>
      </c>
    </row>
    <row r="91" spans="1:7" x14ac:dyDescent="0.25">
      <c r="A91" s="21">
        <v>46419</v>
      </c>
      <c r="B91">
        <v>85</v>
      </c>
      <c r="C91" s="26">
        <f>IF(B91&lt;='Калькулятор лизинга'!$F$16,'Калькулятор лизинга'!Y89,0)+IF(B91='Калькулятор лизинга'!$F$16,'Калькулятор лизинга'!$F$27)</f>
        <v>0</v>
      </c>
      <c r="D91" s="16">
        <f>IF($J$2="нет",0,C91*'Калькулятор лизинга'!$K$11/(100+'Калькулятор лизинга'!$K$11))</f>
        <v>0</v>
      </c>
      <c r="E91" s="26">
        <f t="shared" si="4"/>
        <v>0</v>
      </c>
      <c r="F91" s="16">
        <f>IF($J$3="да",E91*'Калькулятор лизинга'!$K$9/100,0)</f>
        <v>0</v>
      </c>
      <c r="G91" s="26">
        <f t="shared" si="5"/>
        <v>0</v>
      </c>
    </row>
    <row r="92" spans="1:7" x14ac:dyDescent="0.25">
      <c r="A92" s="21">
        <v>46447</v>
      </c>
      <c r="B92">
        <v>86</v>
      </c>
      <c r="C92" s="26">
        <f>IF(B92&lt;='Калькулятор лизинга'!$F$16,'Калькулятор лизинга'!Y90,0)+IF(B92='Калькулятор лизинга'!$F$16,'Калькулятор лизинга'!$F$27)</f>
        <v>0</v>
      </c>
      <c r="D92" s="16">
        <f>IF($J$2="нет",0,C92*'Калькулятор лизинга'!$K$11/(100+'Калькулятор лизинга'!$K$11))</f>
        <v>0</v>
      </c>
      <c r="E92" s="26">
        <f t="shared" si="4"/>
        <v>0</v>
      </c>
      <c r="F92" s="16">
        <f>IF($J$3="да",E92*'Калькулятор лизинга'!$K$9/100,0)</f>
        <v>0</v>
      </c>
      <c r="G92" s="26">
        <f t="shared" si="5"/>
        <v>0</v>
      </c>
    </row>
    <row r="93" spans="1:7" x14ac:dyDescent="0.25">
      <c r="A93" s="21">
        <v>46478</v>
      </c>
      <c r="B93">
        <v>87</v>
      </c>
      <c r="C93" s="26">
        <f>IF(B93&lt;='Калькулятор лизинга'!$F$16,'Калькулятор лизинга'!Y91,0)+IF(B93='Калькулятор лизинга'!$F$16,'Калькулятор лизинга'!$F$27)</f>
        <v>0</v>
      </c>
      <c r="D93" s="16">
        <f>IF($J$2="нет",0,C93*'Калькулятор лизинга'!$K$11/(100+'Калькулятор лизинга'!$K$11))</f>
        <v>0</v>
      </c>
      <c r="E93" s="26">
        <f t="shared" si="4"/>
        <v>0</v>
      </c>
      <c r="F93" s="16">
        <f>IF($J$3="да",E93*'Калькулятор лизинга'!$K$9/100,0)</f>
        <v>0</v>
      </c>
      <c r="G93" s="26">
        <f t="shared" si="5"/>
        <v>0</v>
      </c>
    </row>
    <row r="94" spans="1:7" x14ac:dyDescent="0.25">
      <c r="A94" s="21">
        <v>46508</v>
      </c>
      <c r="B94">
        <v>88</v>
      </c>
      <c r="C94" s="26">
        <f>IF(B94&lt;='Калькулятор лизинга'!$F$16,'Калькулятор лизинга'!Y92,0)+IF(B94='Калькулятор лизинга'!$F$16,'Калькулятор лизинга'!$F$27)</f>
        <v>0</v>
      </c>
      <c r="D94" s="16">
        <f>IF($J$2="нет",0,C94*'Калькулятор лизинга'!$K$11/(100+'Калькулятор лизинга'!$K$11))</f>
        <v>0</v>
      </c>
      <c r="E94" s="26">
        <f t="shared" si="4"/>
        <v>0</v>
      </c>
      <c r="F94" s="16">
        <f>IF($J$3="да",E94*'Калькулятор лизинга'!$K$9/100,0)</f>
        <v>0</v>
      </c>
      <c r="G94" s="26">
        <f t="shared" si="5"/>
        <v>0</v>
      </c>
    </row>
    <row r="95" spans="1:7" x14ac:dyDescent="0.25">
      <c r="A95" s="21">
        <v>46539</v>
      </c>
      <c r="B95">
        <v>89</v>
      </c>
      <c r="C95" s="26">
        <f>IF(B95&lt;='Калькулятор лизинга'!$F$16,'Калькулятор лизинга'!Y93,0)+IF(B95='Калькулятор лизинга'!$F$16,'Калькулятор лизинга'!$F$27)</f>
        <v>0</v>
      </c>
      <c r="D95" s="16">
        <f>IF($J$2="нет",0,C95*'Калькулятор лизинга'!$K$11/(100+'Калькулятор лизинга'!$K$11))</f>
        <v>0</v>
      </c>
      <c r="E95" s="26">
        <f t="shared" si="4"/>
        <v>0</v>
      </c>
      <c r="F95" s="16">
        <f>IF($J$3="да",E95*'Калькулятор лизинга'!$K$9/100,0)</f>
        <v>0</v>
      </c>
      <c r="G95" s="26">
        <f t="shared" si="5"/>
        <v>0</v>
      </c>
    </row>
    <row r="96" spans="1:7" x14ac:dyDescent="0.25">
      <c r="A96" s="21">
        <v>46569</v>
      </c>
      <c r="B96">
        <v>90</v>
      </c>
      <c r="C96" s="26">
        <f>IF(B96&lt;='Калькулятор лизинга'!$F$16,'Калькулятор лизинга'!Y94,0)+IF(B96='Калькулятор лизинга'!$F$16,'Калькулятор лизинга'!$F$27)</f>
        <v>0</v>
      </c>
      <c r="D96" s="16">
        <f>IF($J$2="нет",0,C96*'Калькулятор лизинга'!$K$11/(100+'Калькулятор лизинга'!$K$11))</f>
        <v>0</v>
      </c>
      <c r="E96" s="26">
        <f t="shared" si="4"/>
        <v>0</v>
      </c>
      <c r="F96" s="16">
        <f>IF($J$3="да",E96*'Калькулятор лизинга'!$K$9/100,0)</f>
        <v>0</v>
      </c>
      <c r="G96" s="26">
        <f t="shared" si="5"/>
        <v>0</v>
      </c>
    </row>
    <row r="97" spans="1:7" x14ac:dyDescent="0.25">
      <c r="A97" s="21">
        <v>46600</v>
      </c>
      <c r="B97">
        <v>91</v>
      </c>
      <c r="C97" s="26">
        <f>IF(B97&lt;='Калькулятор лизинга'!$F$16,'Калькулятор лизинга'!Y95,0)+IF(B97='Калькулятор лизинга'!$F$16,'Калькулятор лизинга'!$F$27)</f>
        <v>0</v>
      </c>
      <c r="D97" s="16">
        <f>IF($J$2="нет",0,C97*'Калькулятор лизинга'!$K$11/(100+'Калькулятор лизинга'!$K$11))</f>
        <v>0</v>
      </c>
      <c r="E97" s="26">
        <f t="shared" si="4"/>
        <v>0</v>
      </c>
      <c r="F97" s="16">
        <f>IF($J$3="да",E97*'Калькулятор лизинга'!$K$9/100,0)</f>
        <v>0</v>
      </c>
      <c r="G97" s="26">
        <f t="shared" si="5"/>
        <v>0</v>
      </c>
    </row>
    <row r="98" spans="1:7" x14ac:dyDescent="0.25">
      <c r="A98" s="21">
        <v>46631</v>
      </c>
      <c r="B98">
        <v>92</v>
      </c>
      <c r="C98" s="26">
        <f>IF(B98&lt;='Калькулятор лизинга'!$F$16,'Калькулятор лизинга'!Y96,0)+IF(B98='Калькулятор лизинга'!$F$16,'Калькулятор лизинга'!$F$27)</f>
        <v>0</v>
      </c>
      <c r="D98" s="16">
        <f>IF($J$2="нет",0,C98*'Калькулятор лизинга'!$K$11/(100+'Калькулятор лизинга'!$K$11))</f>
        <v>0</v>
      </c>
      <c r="E98" s="26">
        <f t="shared" si="4"/>
        <v>0</v>
      </c>
      <c r="F98" s="16">
        <f>IF($J$3="да",E98*'Калькулятор лизинга'!$K$9/100,0)</f>
        <v>0</v>
      </c>
      <c r="G98" s="26">
        <f t="shared" si="5"/>
        <v>0</v>
      </c>
    </row>
    <row r="99" spans="1:7" x14ac:dyDescent="0.25">
      <c r="A99" s="21">
        <v>46661</v>
      </c>
      <c r="B99">
        <v>93</v>
      </c>
      <c r="C99" s="26">
        <f>IF(B99&lt;='Калькулятор лизинга'!$F$16,'Калькулятор лизинга'!Y97,0)+IF(B99='Калькулятор лизинга'!$F$16,'Калькулятор лизинга'!$F$27)</f>
        <v>0</v>
      </c>
      <c r="D99" s="16">
        <f>IF($J$2="нет",0,C99*'Калькулятор лизинга'!$K$11/(100+'Калькулятор лизинга'!$K$11))</f>
        <v>0</v>
      </c>
      <c r="E99" s="26">
        <f t="shared" si="4"/>
        <v>0</v>
      </c>
      <c r="F99" s="16">
        <f>IF($J$3="да",E99*'Калькулятор лизинга'!$K$9/100,0)</f>
        <v>0</v>
      </c>
      <c r="G99" s="26">
        <f t="shared" si="5"/>
        <v>0</v>
      </c>
    </row>
    <row r="100" spans="1:7" x14ac:dyDescent="0.25">
      <c r="A100" s="21">
        <v>46692</v>
      </c>
      <c r="B100">
        <v>94</v>
      </c>
      <c r="C100" s="26">
        <f>IF(B100&lt;='Калькулятор лизинга'!$F$16,'Калькулятор лизинга'!Y98,0)+IF(B100='Калькулятор лизинга'!$F$16,'Калькулятор лизинга'!$F$27)</f>
        <v>0</v>
      </c>
      <c r="D100" s="16">
        <f>IF($J$2="нет",0,C100*'Калькулятор лизинга'!$K$11/(100+'Калькулятор лизинга'!$K$11))</f>
        <v>0</v>
      </c>
      <c r="E100" s="26">
        <f t="shared" si="4"/>
        <v>0</v>
      </c>
      <c r="F100" s="16">
        <f>IF($J$3="да",E100*'Калькулятор лизинга'!$K$9/100,0)</f>
        <v>0</v>
      </c>
      <c r="G100" s="26">
        <f t="shared" si="5"/>
        <v>0</v>
      </c>
    </row>
    <row r="101" spans="1:7" x14ac:dyDescent="0.25">
      <c r="A101" s="21">
        <v>46722</v>
      </c>
      <c r="B101">
        <v>95</v>
      </c>
      <c r="C101" s="26">
        <f>IF(B101&lt;='Калькулятор лизинга'!$F$16,'Калькулятор лизинга'!Y99,0)+IF(B101='Калькулятор лизинга'!$F$16,'Калькулятор лизинга'!$F$27)</f>
        <v>0</v>
      </c>
      <c r="D101" s="16">
        <f>IF($J$2="нет",0,C101*'Калькулятор лизинга'!$K$11/(100+'Калькулятор лизинга'!$K$11))</f>
        <v>0</v>
      </c>
      <c r="E101" s="26">
        <f t="shared" si="4"/>
        <v>0</v>
      </c>
      <c r="F101" s="16">
        <f>IF($J$3="да",E101*'Калькулятор лизинга'!$K$9/100,0)</f>
        <v>0</v>
      </c>
      <c r="G101" s="26">
        <f t="shared" si="5"/>
        <v>0</v>
      </c>
    </row>
    <row r="102" spans="1:7" x14ac:dyDescent="0.25">
      <c r="A102" s="21">
        <v>46753</v>
      </c>
      <c r="B102">
        <v>96</v>
      </c>
      <c r="C102" s="26">
        <f>IF(B102&lt;='Калькулятор лизинга'!$F$16,'Калькулятор лизинга'!Y100,0)+IF(B102='Калькулятор лизинга'!$F$16,'Калькулятор лизинга'!$F$27)</f>
        <v>0</v>
      </c>
      <c r="D102" s="16">
        <f>IF($J$2="нет",0,C102*'Калькулятор лизинга'!$K$11/(100+'Калькулятор лизинга'!$K$11))</f>
        <v>0</v>
      </c>
      <c r="E102" s="26">
        <f t="shared" si="4"/>
        <v>0</v>
      </c>
      <c r="F102" s="16">
        <f>IF($J$3="да",E102*'Калькулятор лизинга'!$K$9/100,0)</f>
        <v>0</v>
      </c>
      <c r="G102" s="26">
        <f t="shared" si="5"/>
        <v>0</v>
      </c>
    </row>
    <row r="103" spans="1:7" x14ac:dyDescent="0.25">
      <c r="A103" s="21">
        <v>46784</v>
      </c>
      <c r="B103">
        <v>97</v>
      </c>
      <c r="C103" s="26">
        <f>IF(B103&lt;='Калькулятор лизинга'!$F$16,'Калькулятор лизинга'!Y101,0)+IF(B103='Калькулятор лизинга'!$F$16,'Калькулятор лизинга'!$F$27)</f>
        <v>0</v>
      </c>
      <c r="D103" s="16">
        <f>IF($J$2="нет",0,C103*'Калькулятор лизинга'!$K$11/(100+'Калькулятор лизинга'!$K$11))</f>
        <v>0</v>
      </c>
      <c r="E103" s="26">
        <f t="shared" ref="E103:E134" si="6">C103-D103</f>
        <v>0</v>
      </c>
      <c r="F103" s="16">
        <f>IF($J$3="да",E103*'Калькулятор лизинга'!$K$9/100,0)</f>
        <v>0</v>
      </c>
      <c r="G103" s="26">
        <f t="shared" ref="G103:G134" si="7">E103-F103</f>
        <v>0</v>
      </c>
    </row>
    <row r="104" spans="1:7" x14ac:dyDescent="0.25">
      <c r="A104" s="21">
        <v>46813</v>
      </c>
      <c r="B104">
        <v>98</v>
      </c>
      <c r="C104" s="26">
        <f>IF(B104&lt;='Калькулятор лизинга'!$F$16,'Калькулятор лизинга'!Y102,0)+IF(B104='Калькулятор лизинга'!$F$16,'Калькулятор лизинга'!$F$27)</f>
        <v>0</v>
      </c>
      <c r="D104" s="16">
        <f>IF($J$2="нет",0,C104*'Калькулятор лизинга'!$K$11/(100+'Калькулятор лизинга'!$K$11))</f>
        <v>0</v>
      </c>
      <c r="E104" s="26">
        <f t="shared" si="6"/>
        <v>0</v>
      </c>
      <c r="F104" s="16">
        <f>IF($J$3="да",E104*'Калькулятор лизинга'!$K$9/100,0)</f>
        <v>0</v>
      </c>
      <c r="G104" s="26">
        <f t="shared" si="7"/>
        <v>0</v>
      </c>
    </row>
    <row r="105" spans="1:7" x14ac:dyDescent="0.25">
      <c r="A105" s="21">
        <v>46844</v>
      </c>
      <c r="B105">
        <v>99</v>
      </c>
      <c r="C105" s="26">
        <f>IF(B105&lt;='Калькулятор лизинга'!$F$16,'Калькулятор лизинга'!Y103,0)+IF(B105='Калькулятор лизинга'!$F$16,'Калькулятор лизинга'!$F$27)</f>
        <v>0</v>
      </c>
      <c r="D105" s="16">
        <f>IF($J$2="нет",0,C105*'Калькулятор лизинга'!$K$11/(100+'Калькулятор лизинга'!$K$11))</f>
        <v>0</v>
      </c>
      <c r="E105" s="26">
        <f t="shared" si="6"/>
        <v>0</v>
      </c>
      <c r="F105" s="16">
        <f>IF($J$3="да",E105*'Калькулятор лизинга'!$K$9/100,0)</f>
        <v>0</v>
      </c>
      <c r="G105" s="26">
        <f t="shared" si="7"/>
        <v>0</v>
      </c>
    </row>
    <row r="106" spans="1:7" x14ac:dyDescent="0.25">
      <c r="A106" s="21">
        <v>46874</v>
      </c>
      <c r="B106">
        <v>100</v>
      </c>
      <c r="C106" s="26">
        <f>IF(B106&lt;='Калькулятор лизинга'!$F$16,'Калькулятор лизинга'!Y104,0)+IF(B106='Калькулятор лизинга'!$F$16,'Калькулятор лизинга'!$F$27)</f>
        <v>0</v>
      </c>
      <c r="D106" s="16">
        <f>IF($J$2="нет",0,C106*'Калькулятор лизинга'!$K$11/(100+'Калькулятор лизинга'!$K$11))</f>
        <v>0</v>
      </c>
      <c r="E106" s="26">
        <f t="shared" si="6"/>
        <v>0</v>
      </c>
      <c r="F106" s="16">
        <f>IF($J$3="да",E106*'Калькулятор лизинга'!$K$9/100,0)</f>
        <v>0</v>
      </c>
      <c r="G106" s="26">
        <f t="shared" si="7"/>
        <v>0</v>
      </c>
    </row>
    <row r="107" spans="1:7" x14ac:dyDescent="0.25">
      <c r="A107" s="21">
        <v>46905</v>
      </c>
      <c r="B107">
        <v>101</v>
      </c>
      <c r="C107" s="26">
        <f>IF(B107&lt;='Калькулятор лизинга'!$F$16,'Калькулятор лизинга'!Y105,0)+IF(B107='Калькулятор лизинга'!$F$16,'Калькулятор лизинга'!$F$27)</f>
        <v>0</v>
      </c>
      <c r="D107" s="16">
        <f>IF($J$2="нет",0,C107*'Калькулятор лизинга'!$K$11/(100+'Калькулятор лизинга'!$K$11))</f>
        <v>0</v>
      </c>
      <c r="E107" s="26">
        <f t="shared" si="6"/>
        <v>0</v>
      </c>
      <c r="F107" s="16">
        <f>IF($J$3="да",E107*'Калькулятор лизинга'!$K$9/100,0)</f>
        <v>0</v>
      </c>
      <c r="G107" s="26">
        <f t="shared" si="7"/>
        <v>0</v>
      </c>
    </row>
    <row r="108" spans="1:7" x14ac:dyDescent="0.25">
      <c r="A108" s="21">
        <v>46935</v>
      </c>
      <c r="B108">
        <v>102</v>
      </c>
      <c r="C108" s="26">
        <f>IF(B108&lt;='Калькулятор лизинга'!$F$16,'Калькулятор лизинга'!Y106,0)+IF(B108='Калькулятор лизинга'!$F$16,'Калькулятор лизинга'!$F$27)</f>
        <v>0</v>
      </c>
      <c r="D108" s="16">
        <f>IF($J$2="нет",0,C108*'Калькулятор лизинга'!$K$11/(100+'Калькулятор лизинга'!$K$11))</f>
        <v>0</v>
      </c>
      <c r="E108" s="26">
        <f t="shared" si="6"/>
        <v>0</v>
      </c>
      <c r="F108" s="16">
        <f>IF($J$3="да",E108*'Калькулятор лизинга'!$K$9/100,0)</f>
        <v>0</v>
      </c>
      <c r="G108" s="26">
        <f t="shared" si="7"/>
        <v>0</v>
      </c>
    </row>
    <row r="109" spans="1:7" x14ac:dyDescent="0.25">
      <c r="A109" s="21">
        <v>46966</v>
      </c>
      <c r="B109">
        <v>103</v>
      </c>
      <c r="C109" s="26">
        <f>IF(B109&lt;='Калькулятор лизинга'!$F$16,'Калькулятор лизинга'!Y107,0)+IF(B109='Калькулятор лизинга'!$F$16,'Калькулятор лизинга'!$F$27)</f>
        <v>0</v>
      </c>
      <c r="D109" s="16">
        <f>IF($J$2="нет",0,C109*'Калькулятор лизинга'!$K$11/(100+'Калькулятор лизинга'!$K$11))</f>
        <v>0</v>
      </c>
      <c r="E109" s="26">
        <f t="shared" si="6"/>
        <v>0</v>
      </c>
      <c r="F109" s="16">
        <f>IF($J$3="да",E109*'Калькулятор лизинга'!$K$9/100,0)</f>
        <v>0</v>
      </c>
      <c r="G109" s="26">
        <f t="shared" si="7"/>
        <v>0</v>
      </c>
    </row>
    <row r="110" spans="1:7" x14ac:dyDescent="0.25">
      <c r="A110" s="21">
        <v>46997</v>
      </c>
      <c r="B110">
        <v>104</v>
      </c>
      <c r="C110" s="26">
        <f>IF(B110&lt;='Калькулятор лизинга'!$F$16,'Калькулятор лизинга'!Y108,0)+IF(B110='Калькулятор лизинга'!$F$16,'Калькулятор лизинга'!$F$27)</f>
        <v>0</v>
      </c>
      <c r="D110" s="16">
        <f>IF($J$2="нет",0,C110*'Калькулятор лизинга'!$K$11/(100+'Калькулятор лизинга'!$K$11))</f>
        <v>0</v>
      </c>
      <c r="E110" s="26">
        <f t="shared" si="6"/>
        <v>0</v>
      </c>
      <c r="F110" s="16">
        <f>IF($J$3="да",E110*'Калькулятор лизинга'!$K$9/100,0)</f>
        <v>0</v>
      </c>
      <c r="G110" s="26">
        <f t="shared" si="7"/>
        <v>0</v>
      </c>
    </row>
    <row r="111" spans="1:7" x14ac:dyDescent="0.25">
      <c r="A111" s="21">
        <v>47027</v>
      </c>
      <c r="B111">
        <v>105</v>
      </c>
      <c r="C111" s="26">
        <f>IF(B111&lt;='Калькулятор лизинга'!$F$16,'Калькулятор лизинга'!Y109,0)+IF(B111='Калькулятор лизинга'!$F$16,'Калькулятор лизинга'!$F$27)</f>
        <v>0</v>
      </c>
      <c r="D111" s="16">
        <f>IF($J$2="нет",0,C111*'Калькулятор лизинга'!$K$11/(100+'Калькулятор лизинга'!$K$11))</f>
        <v>0</v>
      </c>
      <c r="E111" s="26">
        <f t="shared" si="6"/>
        <v>0</v>
      </c>
      <c r="F111" s="16">
        <f>IF($J$3="да",E111*'Калькулятор лизинга'!$K$9/100,0)</f>
        <v>0</v>
      </c>
      <c r="G111" s="26">
        <f t="shared" si="7"/>
        <v>0</v>
      </c>
    </row>
    <row r="112" spans="1:7" x14ac:dyDescent="0.25">
      <c r="A112" s="21">
        <v>47058</v>
      </c>
      <c r="B112">
        <v>106</v>
      </c>
      <c r="C112" s="26">
        <f>IF(B112&lt;='Калькулятор лизинга'!$F$16,'Калькулятор лизинга'!Y110,0)+IF(B112='Калькулятор лизинга'!$F$16,'Калькулятор лизинга'!$F$27)</f>
        <v>0</v>
      </c>
      <c r="D112" s="16">
        <f>IF($J$2="нет",0,C112*'Калькулятор лизинга'!$K$11/(100+'Калькулятор лизинга'!$K$11))</f>
        <v>0</v>
      </c>
      <c r="E112" s="26">
        <f t="shared" si="6"/>
        <v>0</v>
      </c>
      <c r="F112" s="16">
        <f>IF($J$3="да",E112*'Калькулятор лизинга'!$K$9/100,0)</f>
        <v>0</v>
      </c>
      <c r="G112" s="26">
        <f t="shared" si="7"/>
        <v>0</v>
      </c>
    </row>
    <row r="113" spans="1:7" x14ac:dyDescent="0.25">
      <c r="A113" s="21">
        <v>47088</v>
      </c>
      <c r="B113">
        <v>107</v>
      </c>
      <c r="C113" s="26">
        <f>IF(B113&lt;='Калькулятор лизинга'!$F$16,'Калькулятор лизинга'!Y111,0)+IF(B113='Калькулятор лизинга'!$F$16,'Калькулятор лизинга'!$F$27)</f>
        <v>0</v>
      </c>
      <c r="D113" s="16">
        <f>IF($J$2="нет",0,C113*'Калькулятор лизинга'!$K$11/(100+'Калькулятор лизинга'!$K$11))</f>
        <v>0</v>
      </c>
      <c r="E113" s="26">
        <f t="shared" si="6"/>
        <v>0</v>
      </c>
      <c r="F113" s="16">
        <f>IF($J$3="да",E113*'Калькулятор лизинга'!$K$9/100,0)</f>
        <v>0</v>
      </c>
      <c r="G113" s="26">
        <f t="shared" si="7"/>
        <v>0</v>
      </c>
    </row>
    <row r="114" spans="1:7" x14ac:dyDescent="0.25">
      <c r="A114" s="21">
        <v>47119</v>
      </c>
      <c r="B114">
        <v>108</v>
      </c>
      <c r="C114" s="26">
        <f>IF(B114&lt;='Калькулятор лизинга'!$F$16,'Калькулятор лизинга'!Y112,0)+IF(B114='Калькулятор лизинга'!$F$16,'Калькулятор лизинга'!$F$27)</f>
        <v>0</v>
      </c>
      <c r="D114" s="16">
        <f>IF($J$2="нет",0,C114*'Калькулятор лизинга'!$K$11/(100+'Калькулятор лизинга'!$K$11))</f>
        <v>0</v>
      </c>
      <c r="E114" s="26">
        <f t="shared" si="6"/>
        <v>0</v>
      </c>
      <c r="F114" s="16">
        <f>IF($J$3="да",E114*'Калькулятор лизинга'!$K$9/100,0)</f>
        <v>0</v>
      </c>
      <c r="G114" s="26">
        <f t="shared" si="7"/>
        <v>0</v>
      </c>
    </row>
    <row r="115" spans="1:7" x14ac:dyDescent="0.25">
      <c r="A115" s="21">
        <v>47150</v>
      </c>
      <c r="B115">
        <v>109</v>
      </c>
      <c r="C115" s="26">
        <f>IF(B115&lt;='Калькулятор лизинга'!$F$16,'Калькулятор лизинга'!Y113,0)+IF(B115='Калькулятор лизинга'!$F$16,'Калькулятор лизинга'!$F$27)</f>
        <v>0</v>
      </c>
      <c r="D115" s="16">
        <f>IF($J$2="нет",0,C115*'Калькулятор лизинга'!$K$11/(100+'Калькулятор лизинга'!$K$11))</f>
        <v>0</v>
      </c>
      <c r="E115" s="26">
        <f t="shared" si="6"/>
        <v>0</v>
      </c>
      <c r="F115" s="16">
        <f>IF($J$3="да",E115*'Калькулятор лизинга'!$K$9/100,0)</f>
        <v>0</v>
      </c>
      <c r="G115" s="26">
        <f t="shared" si="7"/>
        <v>0</v>
      </c>
    </row>
    <row r="116" spans="1:7" x14ac:dyDescent="0.25">
      <c r="A116" s="21">
        <v>47178</v>
      </c>
      <c r="B116">
        <v>110</v>
      </c>
      <c r="C116" s="26">
        <f>IF(B116&lt;='Калькулятор лизинга'!$F$16,'Калькулятор лизинга'!Y114,0)+IF(B116='Калькулятор лизинга'!$F$16,'Калькулятор лизинга'!$F$27)</f>
        <v>0</v>
      </c>
      <c r="D116" s="16">
        <f>IF($J$2="нет",0,C116*'Калькулятор лизинга'!$K$11/(100+'Калькулятор лизинга'!$K$11))</f>
        <v>0</v>
      </c>
      <c r="E116" s="26">
        <f t="shared" si="6"/>
        <v>0</v>
      </c>
      <c r="F116" s="16">
        <f>IF($J$3="да",E116*'Калькулятор лизинга'!$K$9/100,0)</f>
        <v>0</v>
      </c>
      <c r="G116" s="26">
        <f t="shared" si="7"/>
        <v>0</v>
      </c>
    </row>
    <row r="117" spans="1:7" x14ac:dyDescent="0.25">
      <c r="A117" s="21">
        <v>47209</v>
      </c>
      <c r="B117">
        <v>111</v>
      </c>
      <c r="C117" s="26">
        <f>IF(B117&lt;='Калькулятор лизинга'!$F$16,'Калькулятор лизинга'!Y115,0)+IF(B117='Калькулятор лизинга'!$F$16,'Калькулятор лизинга'!$F$27)</f>
        <v>0</v>
      </c>
      <c r="D117" s="16">
        <f>IF($J$2="нет",0,C117*'Калькулятор лизинга'!$K$11/(100+'Калькулятор лизинга'!$K$11))</f>
        <v>0</v>
      </c>
      <c r="E117" s="26">
        <f t="shared" si="6"/>
        <v>0</v>
      </c>
      <c r="F117" s="16">
        <f>IF($J$3="да",E117*'Калькулятор лизинга'!$K$9/100,0)</f>
        <v>0</v>
      </c>
      <c r="G117" s="26">
        <f t="shared" si="7"/>
        <v>0</v>
      </c>
    </row>
    <row r="118" spans="1:7" x14ac:dyDescent="0.25">
      <c r="A118" s="21">
        <v>47239</v>
      </c>
      <c r="B118">
        <v>112</v>
      </c>
      <c r="C118" s="26">
        <f>IF(B118&lt;='Калькулятор лизинга'!$F$16,'Калькулятор лизинга'!Y116,0)+IF(B118='Калькулятор лизинга'!$F$16,'Калькулятор лизинга'!$F$27)</f>
        <v>0</v>
      </c>
      <c r="D118" s="16">
        <f>IF($J$2="нет",0,C118*'Калькулятор лизинга'!$K$11/(100+'Калькулятор лизинга'!$K$11))</f>
        <v>0</v>
      </c>
      <c r="E118" s="26">
        <f t="shared" si="6"/>
        <v>0</v>
      </c>
      <c r="F118" s="16">
        <f>IF($J$3="да",E118*'Калькулятор лизинга'!$K$9/100,0)</f>
        <v>0</v>
      </c>
      <c r="G118" s="26">
        <f t="shared" si="7"/>
        <v>0</v>
      </c>
    </row>
    <row r="119" spans="1:7" x14ac:dyDescent="0.25">
      <c r="A119" s="21">
        <v>47270</v>
      </c>
      <c r="B119">
        <v>113</v>
      </c>
      <c r="C119" s="26">
        <f>IF(B119&lt;='Калькулятор лизинга'!$F$16,'Калькулятор лизинга'!Y117,0)+IF(B119='Калькулятор лизинга'!$F$16,'Калькулятор лизинга'!$F$27)</f>
        <v>0</v>
      </c>
      <c r="D119" s="16">
        <f>IF($J$2="нет",0,C119*'Калькулятор лизинга'!$K$11/(100+'Калькулятор лизинга'!$K$11))</f>
        <v>0</v>
      </c>
      <c r="E119" s="26">
        <f t="shared" si="6"/>
        <v>0</v>
      </c>
      <c r="F119" s="16">
        <f>IF($J$3="да",E119*'Калькулятор лизинга'!$K$9/100,0)</f>
        <v>0</v>
      </c>
      <c r="G119" s="26">
        <f t="shared" si="7"/>
        <v>0</v>
      </c>
    </row>
    <row r="120" spans="1:7" x14ac:dyDescent="0.25">
      <c r="A120" s="21">
        <v>47300</v>
      </c>
      <c r="B120">
        <v>114</v>
      </c>
      <c r="C120" s="26">
        <f>IF(B120&lt;='Калькулятор лизинга'!$F$16,'Калькулятор лизинга'!Y118,0)+IF(B120='Калькулятор лизинга'!$F$16,'Калькулятор лизинга'!$F$27)</f>
        <v>0</v>
      </c>
      <c r="D120" s="16">
        <f>IF($J$2="нет",0,C120*'Калькулятор лизинга'!$K$11/(100+'Калькулятор лизинга'!$K$11))</f>
        <v>0</v>
      </c>
      <c r="E120" s="26">
        <f t="shared" si="6"/>
        <v>0</v>
      </c>
      <c r="F120" s="16">
        <f>IF($J$3="да",E120*'Калькулятор лизинга'!$K$9/100,0)</f>
        <v>0</v>
      </c>
      <c r="G120" s="26">
        <f t="shared" si="7"/>
        <v>0</v>
      </c>
    </row>
    <row r="121" spans="1:7" x14ac:dyDescent="0.25">
      <c r="A121" s="21">
        <v>47331</v>
      </c>
      <c r="B121">
        <v>115</v>
      </c>
      <c r="C121" s="26">
        <f>IF(B121&lt;='Калькулятор лизинга'!$F$16,'Калькулятор лизинга'!Y119,0)+IF(B121='Калькулятор лизинга'!$F$16,'Калькулятор лизинга'!$F$27)</f>
        <v>0</v>
      </c>
      <c r="D121" s="16">
        <f>IF($J$2="нет",0,C121*'Калькулятор лизинга'!$K$11/(100+'Калькулятор лизинга'!$K$11))</f>
        <v>0</v>
      </c>
      <c r="E121" s="26">
        <f t="shared" si="6"/>
        <v>0</v>
      </c>
      <c r="F121" s="16">
        <f>IF($J$3="да",E121*'Калькулятор лизинга'!$K$9/100,0)</f>
        <v>0</v>
      </c>
      <c r="G121" s="26">
        <f t="shared" si="7"/>
        <v>0</v>
      </c>
    </row>
    <row r="122" spans="1:7" x14ac:dyDescent="0.25">
      <c r="A122" s="21">
        <v>47362</v>
      </c>
      <c r="B122">
        <v>116</v>
      </c>
      <c r="C122" s="26">
        <f>IF(B122&lt;='Калькулятор лизинга'!$F$16,'Калькулятор лизинга'!Y120,0)+IF(B122='Калькулятор лизинга'!$F$16,'Калькулятор лизинга'!$F$27)</f>
        <v>0</v>
      </c>
      <c r="D122" s="16">
        <f>IF($J$2="нет",0,C122*'Калькулятор лизинга'!$K$11/(100+'Калькулятор лизинга'!$K$11))</f>
        <v>0</v>
      </c>
      <c r="E122" s="26">
        <f t="shared" si="6"/>
        <v>0</v>
      </c>
      <c r="F122" s="16">
        <f>IF($J$3="да",E122*'Калькулятор лизинга'!$K$9/100,0)</f>
        <v>0</v>
      </c>
      <c r="G122" s="26">
        <f t="shared" si="7"/>
        <v>0</v>
      </c>
    </row>
    <row r="123" spans="1:7" x14ac:dyDescent="0.25">
      <c r="A123" s="21">
        <v>47392</v>
      </c>
      <c r="B123">
        <v>117</v>
      </c>
      <c r="C123" s="26">
        <f>IF(B123&lt;='Калькулятор лизинга'!$F$16,'Калькулятор лизинга'!Y121,0)+IF(B123='Калькулятор лизинга'!$F$16,'Калькулятор лизинга'!$F$27)</f>
        <v>0</v>
      </c>
      <c r="D123" s="16">
        <f>IF($J$2="нет",0,C123*'Калькулятор лизинга'!$K$11/(100+'Калькулятор лизинга'!$K$11))</f>
        <v>0</v>
      </c>
      <c r="E123" s="26">
        <f t="shared" si="6"/>
        <v>0</v>
      </c>
      <c r="F123" s="16">
        <f>IF($J$3="да",E123*'Калькулятор лизинга'!$K$9/100,0)</f>
        <v>0</v>
      </c>
      <c r="G123" s="26">
        <f t="shared" si="7"/>
        <v>0</v>
      </c>
    </row>
    <row r="124" spans="1:7" x14ac:dyDescent="0.25">
      <c r="A124" s="21">
        <v>47423</v>
      </c>
      <c r="B124">
        <v>118</v>
      </c>
      <c r="C124" s="26">
        <f>IF(B124&lt;='Калькулятор лизинга'!$F$16,'Калькулятор лизинга'!Y122,0)+IF(B124='Калькулятор лизинга'!$F$16,'Калькулятор лизинга'!$F$27)</f>
        <v>0</v>
      </c>
      <c r="D124" s="16">
        <f>IF($J$2="нет",0,C124*'Калькулятор лизинга'!$K$11/(100+'Калькулятор лизинга'!$K$11))</f>
        <v>0</v>
      </c>
      <c r="E124" s="26">
        <f t="shared" si="6"/>
        <v>0</v>
      </c>
      <c r="F124" s="16">
        <f>IF($J$3="да",E124*'Калькулятор лизинга'!$K$9/100,0)</f>
        <v>0</v>
      </c>
      <c r="G124" s="26">
        <f t="shared" si="7"/>
        <v>0</v>
      </c>
    </row>
    <row r="125" spans="1:7" x14ac:dyDescent="0.25">
      <c r="A125" s="21">
        <v>47453</v>
      </c>
      <c r="B125">
        <v>119</v>
      </c>
      <c r="C125" s="26">
        <f>IF(B125&lt;='Калькулятор лизинга'!$F$16,'Калькулятор лизинга'!Y123,0)+IF(B125='Калькулятор лизинга'!$F$16,'Калькулятор лизинга'!$F$27)</f>
        <v>0</v>
      </c>
      <c r="D125" s="16">
        <f>IF($J$2="нет",0,C125*'Калькулятор лизинга'!$K$11/(100+'Калькулятор лизинга'!$K$11))</f>
        <v>0</v>
      </c>
      <c r="E125" s="26">
        <f t="shared" si="6"/>
        <v>0</v>
      </c>
      <c r="F125" s="16">
        <f>IF($J$3="да",E125*'Калькулятор лизинга'!$K$9/100,0)</f>
        <v>0</v>
      </c>
      <c r="G125" s="26">
        <f t="shared" si="7"/>
        <v>0</v>
      </c>
    </row>
    <row r="126" spans="1:7" x14ac:dyDescent="0.25">
      <c r="A126" s="21">
        <v>47484</v>
      </c>
      <c r="B126">
        <v>120</v>
      </c>
      <c r="C126" s="26">
        <f>IF(B126&lt;='Калькулятор лизинга'!$F$16,'Калькулятор лизинга'!Y124,0)+IF(B126='Калькулятор лизинга'!$F$16,'Калькулятор лизинга'!$F$27)</f>
        <v>0</v>
      </c>
      <c r="D126" s="16">
        <f>IF($J$2="нет",0,C126*'Калькулятор лизинга'!$K$11/(100+'Калькулятор лизинга'!$K$11))</f>
        <v>0</v>
      </c>
      <c r="E126" s="26">
        <f t="shared" si="6"/>
        <v>0</v>
      </c>
      <c r="F126" s="16">
        <f>IF($J$3="да",E126*'Калькулятор лизинга'!$K$9/100,0)</f>
        <v>0</v>
      </c>
      <c r="G126" s="26">
        <f t="shared" si="7"/>
        <v>0</v>
      </c>
    </row>
    <row r="127" spans="1:7" x14ac:dyDescent="0.25">
      <c r="A127" s="21">
        <v>47515</v>
      </c>
      <c r="B127">
        <v>121</v>
      </c>
      <c r="C127" s="26">
        <f>IF(B127&lt;='Калькулятор лизинга'!$F$16,'Калькулятор лизинга'!Y125,0)+IF(B127='Калькулятор лизинга'!$F$16,'Калькулятор лизинга'!$F$27)</f>
        <v>0</v>
      </c>
      <c r="D127" s="16">
        <f>IF($J$2="нет",0,C127*'Калькулятор лизинга'!$K$11/(100+'Калькулятор лизинга'!$K$11))</f>
        <v>0</v>
      </c>
      <c r="E127" s="26">
        <f t="shared" si="6"/>
        <v>0</v>
      </c>
      <c r="F127" s="16">
        <f>IF($J$3="да",E127*'Калькулятор лизинга'!$K$9/100,0)</f>
        <v>0</v>
      </c>
      <c r="G127" s="26">
        <f t="shared" si="7"/>
        <v>0</v>
      </c>
    </row>
    <row r="128" spans="1:7" x14ac:dyDescent="0.25">
      <c r="A128" s="21">
        <v>47543</v>
      </c>
      <c r="B128">
        <v>122</v>
      </c>
      <c r="C128" s="26">
        <f>IF(B128&lt;='Калькулятор лизинга'!$F$16,'Калькулятор лизинга'!Y126,0)+IF(B128='Калькулятор лизинга'!$F$16,'Калькулятор лизинга'!$F$27)</f>
        <v>0</v>
      </c>
      <c r="D128" s="16">
        <f>IF($J$2="нет",0,C128*'Калькулятор лизинга'!$K$11/(100+'Калькулятор лизинга'!$K$11))</f>
        <v>0</v>
      </c>
      <c r="E128" s="26">
        <f t="shared" si="6"/>
        <v>0</v>
      </c>
      <c r="F128" s="16">
        <f>IF($J$3="да",E128*'Калькулятор лизинга'!$K$9/100,0)</f>
        <v>0</v>
      </c>
      <c r="G128" s="26">
        <f t="shared" si="7"/>
        <v>0</v>
      </c>
    </row>
    <row r="129" spans="1:7" x14ac:dyDescent="0.25">
      <c r="A129" s="21">
        <v>47574</v>
      </c>
      <c r="B129">
        <v>123</v>
      </c>
      <c r="C129" s="26">
        <f>IF(B129&lt;='Калькулятор лизинга'!$F$16,'Калькулятор лизинга'!Y127,0)+IF(B129='Калькулятор лизинга'!$F$16,'Калькулятор лизинга'!$F$27)</f>
        <v>0</v>
      </c>
      <c r="D129" s="16">
        <f>IF($J$2="нет",0,C129*'Калькулятор лизинга'!$K$11/(100+'Калькулятор лизинга'!$K$11))</f>
        <v>0</v>
      </c>
      <c r="E129" s="26">
        <f t="shared" si="6"/>
        <v>0</v>
      </c>
      <c r="F129" s="16">
        <f>IF($J$3="да",E129*'Калькулятор лизинга'!$K$9/100,0)</f>
        <v>0</v>
      </c>
      <c r="G129" s="26">
        <f t="shared" si="7"/>
        <v>0</v>
      </c>
    </row>
    <row r="130" spans="1:7" x14ac:dyDescent="0.25">
      <c r="A130" s="21">
        <v>47604</v>
      </c>
      <c r="B130">
        <v>124</v>
      </c>
      <c r="C130" s="26">
        <f>IF(B130&lt;='Калькулятор лизинга'!$F$16,'Калькулятор лизинга'!Y128,0)+IF(B130='Калькулятор лизинга'!$F$16,'Калькулятор лизинга'!$F$27)</f>
        <v>0</v>
      </c>
      <c r="D130" s="16">
        <f>IF($J$2="нет",0,C130*'Калькулятор лизинга'!$K$11/(100+'Калькулятор лизинга'!$K$11))</f>
        <v>0</v>
      </c>
      <c r="E130" s="26">
        <f t="shared" si="6"/>
        <v>0</v>
      </c>
      <c r="F130" s="16">
        <f>IF($J$3="да",E130*'Калькулятор лизинга'!$K$9/100,0)</f>
        <v>0</v>
      </c>
      <c r="G130" s="26">
        <f t="shared" si="7"/>
        <v>0</v>
      </c>
    </row>
    <row r="131" spans="1:7" x14ac:dyDescent="0.25">
      <c r="A131" s="21">
        <v>47635</v>
      </c>
      <c r="B131">
        <v>125</v>
      </c>
      <c r="C131" s="26">
        <f>IF(B131&lt;='Калькулятор лизинга'!$F$16,'Калькулятор лизинга'!Y129,0)+IF(B131='Калькулятор лизинга'!$F$16,'Калькулятор лизинга'!$F$27)</f>
        <v>0</v>
      </c>
      <c r="D131" s="16">
        <f>IF($J$2="нет",0,C131*'Калькулятор лизинга'!$K$11/(100+'Калькулятор лизинга'!$K$11))</f>
        <v>0</v>
      </c>
      <c r="E131" s="26">
        <f t="shared" si="6"/>
        <v>0</v>
      </c>
      <c r="F131" s="16">
        <f>IF($J$3="да",E131*'Калькулятор лизинга'!$K$9/100,0)</f>
        <v>0</v>
      </c>
      <c r="G131" s="26">
        <f t="shared" si="7"/>
        <v>0</v>
      </c>
    </row>
    <row r="132" spans="1:7" x14ac:dyDescent="0.25">
      <c r="A132" s="21">
        <v>47665</v>
      </c>
      <c r="B132">
        <v>126</v>
      </c>
      <c r="C132" s="26">
        <f>IF(B132&lt;='Калькулятор лизинга'!$F$16,'Калькулятор лизинга'!Y130,0)+IF(B132='Калькулятор лизинга'!$F$16,'Калькулятор лизинга'!$F$27)</f>
        <v>0</v>
      </c>
      <c r="D132" s="16">
        <f>IF($J$2="нет",0,C132*'Калькулятор лизинга'!$K$11/(100+'Калькулятор лизинга'!$K$11))</f>
        <v>0</v>
      </c>
      <c r="E132" s="26">
        <f t="shared" si="6"/>
        <v>0</v>
      </c>
      <c r="F132" s="16">
        <f>IF($J$3="да",E132*'Калькулятор лизинга'!$K$9/100,0)</f>
        <v>0</v>
      </c>
      <c r="G132" s="26">
        <f t="shared" si="7"/>
        <v>0</v>
      </c>
    </row>
    <row r="133" spans="1:7" x14ac:dyDescent="0.25">
      <c r="A133" s="21">
        <v>47696</v>
      </c>
      <c r="B133">
        <v>127</v>
      </c>
      <c r="C133" s="26">
        <f>IF(B133&lt;='Калькулятор лизинга'!$F$16,'Калькулятор лизинга'!Y131,0)+IF(B133='Калькулятор лизинга'!$F$16,'Калькулятор лизинга'!$F$27)</f>
        <v>0</v>
      </c>
      <c r="D133" s="16">
        <f>IF($J$2="нет",0,C133*'Калькулятор лизинга'!$K$11/(100+'Калькулятор лизинга'!$K$11))</f>
        <v>0</v>
      </c>
      <c r="E133" s="26">
        <f t="shared" si="6"/>
        <v>0</v>
      </c>
      <c r="F133" s="16">
        <f>IF($J$3="да",E133*'Калькулятор лизинга'!$K$9/100,0)</f>
        <v>0</v>
      </c>
      <c r="G133" s="26">
        <f t="shared" si="7"/>
        <v>0</v>
      </c>
    </row>
    <row r="134" spans="1:7" x14ac:dyDescent="0.25">
      <c r="A134" s="21">
        <v>47727</v>
      </c>
      <c r="B134">
        <v>128</v>
      </c>
      <c r="C134" s="26">
        <f>IF(B134&lt;='Калькулятор лизинга'!$F$16,'Калькулятор лизинга'!Y132,0)+IF(B134='Калькулятор лизинга'!$F$16,'Калькулятор лизинга'!$F$27)</f>
        <v>0</v>
      </c>
      <c r="D134" s="16">
        <f>IF($J$2="нет",0,C134*'Калькулятор лизинга'!$K$11/(100+'Калькулятор лизинга'!$K$11))</f>
        <v>0</v>
      </c>
      <c r="E134" s="26">
        <f t="shared" si="6"/>
        <v>0</v>
      </c>
      <c r="F134" s="16">
        <f>IF($J$3="да",E134*'Калькулятор лизинга'!$K$9/100,0)</f>
        <v>0</v>
      </c>
      <c r="G134" s="26">
        <f t="shared" si="7"/>
        <v>0</v>
      </c>
    </row>
    <row r="135" spans="1:7" x14ac:dyDescent="0.25">
      <c r="A135" s="21">
        <v>47757</v>
      </c>
      <c r="B135">
        <v>129</v>
      </c>
      <c r="C135" s="26">
        <f>IF(B135&lt;='Калькулятор лизинга'!$F$16,'Калькулятор лизинга'!Y133,0)+IF(B135='Калькулятор лизинга'!$F$16,'Калькулятор лизинга'!$F$27)</f>
        <v>0</v>
      </c>
      <c r="D135" s="16">
        <f>IF($J$2="нет",0,C135*'Калькулятор лизинга'!$K$11/(100+'Калькулятор лизинга'!$K$11))</f>
        <v>0</v>
      </c>
      <c r="E135" s="26">
        <f t="shared" ref="E135:E166" si="8">C135-D135</f>
        <v>0</v>
      </c>
      <c r="F135" s="16">
        <f>IF($J$3="да",E135*'Калькулятор лизинга'!$K$9/100,0)</f>
        <v>0</v>
      </c>
      <c r="G135" s="26">
        <f t="shared" ref="G135:G166" si="9">E135-F135</f>
        <v>0</v>
      </c>
    </row>
    <row r="136" spans="1:7" x14ac:dyDescent="0.25">
      <c r="A136" s="21">
        <v>47788</v>
      </c>
      <c r="B136">
        <v>130</v>
      </c>
      <c r="C136" s="26">
        <f>IF(B136&lt;='Калькулятор лизинга'!$F$16,'Калькулятор лизинга'!Y134,0)+IF(B136='Калькулятор лизинга'!$F$16,'Калькулятор лизинга'!$F$27)</f>
        <v>0</v>
      </c>
      <c r="D136" s="16">
        <f>IF($J$2="нет",0,C136*'Калькулятор лизинга'!$K$11/(100+'Калькулятор лизинга'!$K$11))</f>
        <v>0</v>
      </c>
      <c r="E136" s="26">
        <f t="shared" si="8"/>
        <v>0</v>
      </c>
      <c r="F136" s="16">
        <f>IF($J$3="да",E136*'Калькулятор лизинга'!$K$9/100,0)</f>
        <v>0</v>
      </c>
      <c r="G136" s="26">
        <f t="shared" si="9"/>
        <v>0</v>
      </c>
    </row>
    <row r="137" spans="1:7" x14ac:dyDescent="0.25">
      <c r="A137" s="21">
        <v>47818</v>
      </c>
      <c r="B137">
        <v>131</v>
      </c>
      <c r="C137" s="26">
        <f>IF(B137&lt;='Калькулятор лизинга'!$F$16,'Калькулятор лизинга'!Y135,0)+IF(B137='Калькулятор лизинга'!$F$16,'Калькулятор лизинга'!$F$27)</f>
        <v>0</v>
      </c>
      <c r="D137" s="16">
        <f>IF($J$2="нет",0,C137*'Калькулятор лизинга'!$K$11/(100+'Калькулятор лизинга'!$K$11))</f>
        <v>0</v>
      </c>
      <c r="E137" s="26">
        <f t="shared" si="8"/>
        <v>0</v>
      </c>
      <c r="F137" s="16">
        <f>IF($J$3="да",E137*'Калькулятор лизинга'!$K$9/100,0)</f>
        <v>0</v>
      </c>
      <c r="G137" s="26">
        <f t="shared" si="9"/>
        <v>0</v>
      </c>
    </row>
    <row r="138" spans="1:7" x14ac:dyDescent="0.25">
      <c r="A138" s="21">
        <v>47849</v>
      </c>
      <c r="B138">
        <v>132</v>
      </c>
      <c r="C138" s="26">
        <f>IF(B138&lt;='Калькулятор лизинга'!$F$16,'Калькулятор лизинга'!Y136,0)+IF(B138='Калькулятор лизинга'!$F$16,'Калькулятор лизинга'!$F$27)</f>
        <v>0</v>
      </c>
      <c r="D138" s="16">
        <f>IF($J$2="нет",0,C138*'Калькулятор лизинга'!$K$11/(100+'Калькулятор лизинга'!$K$11))</f>
        <v>0</v>
      </c>
      <c r="E138" s="26">
        <f t="shared" si="8"/>
        <v>0</v>
      </c>
      <c r="F138" s="16">
        <f>IF($J$3="да",E138*'Калькулятор лизинга'!$K$9/100,0)</f>
        <v>0</v>
      </c>
      <c r="G138" s="26">
        <f t="shared" si="9"/>
        <v>0</v>
      </c>
    </row>
    <row r="139" spans="1:7" x14ac:dyDescent="0.25">
      <c r="A139" s="21">
        <v>47880</v>
      </c>
      <c r="B139">
        <v>133</v>
      </c>
      <c r="C139" s="26">
        <f>IF(B139&lt;='Калькулятор лизинга'!$F$16,'Калькулятор лизинга'!Y137,0)+IF(B139='Калькулятор лизинга'!$F$16,'Калькулятор лизинга'!$F$27)</f>
        <v>0</v>
      </c>
      <c r="D139" s="16">
        <f>IF($J$2="нет",0,C139*'Калькулятор лизинга'!$K$11/(100+'Калькулятор лизинга'!$K$11))</f>
        <v>0</v>
      </c>
      <c r="E139" s="26">
        <f t="shared" si="8"/>
        <v>0</v>
      </c>
      <c r="F139" s="16">
        <f>IF($J$3="да",E139*'Калькулятор лизинга'!$K$9/100,0)</f>
        <v>0</v>
      </c>
      <c r="G139" s="26">
        <f t="shared" si="9"/>
        <v>0</v>
      </c>
    </row>
    <row r="140" spans="1:7" x14ac:dyDescent="0.25">
      <c r="A140" s="21">
        <v>47908</v>
      </c>
      <c r="B140">
        <v>134</v>
      </c>
      <c r="C140" s="26">
        <f>IF(B140&lt;='Калькулятор лизинга'!$F$16,'Калькулятор лизинга'!Y138,0)+IF(B140='Калькулятор лизинга'!$F$16,'Калькулятор лизинга'!$F$27)</f>
        <v>0</v>
      </c>
      <c r="D140" s="16">
        <f>IF($J$2="нет",0,C140*'Калькулятор лизинга'!$K$11/(100+'Калькулятор лизинга'!$K$11))</f>
        <v>0</v>
      </c>
      <c r="E140" s="26">
        <f t="shared" si="8"/>
        <v>0</v>
      </c>
      <c r="F140" s="16">
        <f>IF($J$3="да",E140*'Калькулятор лизинга'!$K$9/100,0)</f>
        <v>0</v>
      </c>
      <c r="G140" s="26">
        <f t="shared" si="9"/>
        <v>0</v>
      </c>
    </row>
    <row r="141" spans="1:7" x14ac:dyDescent="0.25">
      <c r="A141" s="21">
        <v>47939</v>
      </c>
      <c r="B141">
        <v>135</v>
      </c>
      <c r="C141" s="26">
        <f>IF(B141&lt;='Калькулятор лизинга'!$F$16,'Калькулятор лизинга'!Y139,0)+IF(B141='Калькулятор лизинга'!$F$16,'Калькулятор лизинга'!$F$27)</f>
        <v>0</v>
      </c>
      <c r="D141" s="16">
        <f>IF($J$2="нет",0,C141*'Калькулятор лизинга'!$K$11/(100+'Калькулятор лизинга'!$K$11))</f>
        <v>0</v>
      </c>
      <c r="E141" s="26">
        <f t="shared" si="8"/>
        <v>0</v>
      </c>
      <c r="F141" s="16">
        <f>IF($J$3="да",E141*'Калькулятор лизинга'!$K$9/100,0)</f>
        <v>0</v>
      </c>
      <c r="G141" s="26">
        <f t="shared" si="9"/>
        <v>0</v>
      </c>
    </row>
    <row r="142" spans="1:7" x14ac:dyDescent="0.25">
      <c r="A142" s="21">
        <v>47969</v>
      </c>
      <c r="B142">
        <v>136</v>
      </c>
      <c r="C142" s="26">
        <f>IF(B142&lt;='Калькулятор лизинга'!$F$16,'Калькулятор лизинга'!Y140,0)+IF(B142='Калькулятор лизинга'!$F$16,'Калькулятор лизинга'!$F$27)</f>
        <v>0</v>
      </c>
      <c r="D142" s="16">
        <f>IF($J$2="нет",0,C142*'Калькулятор лизинга'!$K$11/(100+'Калькулятор лизинга'!$K$11))</f>
        <v>0</v>
      </c>
      <c r="E142" s="26">
        <f t="shared" si="8"/>
        <v>0</v>
      </c>
      <c r="F142" s="16">
        <f>IF($J$3="да",E142*'Калькулятор лизинга'!$K$9/100,0)</f>
        <v>0</v>
      </c>
      <c r="G142" s="26">
        <f t="shared" si="9"/>
        <v>0</v>
      </c>
    </row>
    <row r="143" spans="1:7" x14ac:dyDescent="0.25">
      <c r="A143" s="21">
        <v>48000</v>
      </c>
      <c r="B143">
        <v>137</v>
      </c>
      <c r="C143" s="26">
        <f>IF(B143&lt;='Калькулятор лизинга'!$F$16,'Калькулятор лизинга'!Y141,0)+IF(B143='Калькулятор лизинга'!$F$16,'Калькулятор лизинга'!$F$27)</f>
        <v>0</v>
      </c>
      <c r="D143" s="16">
        <f>IF($J$2="нет",0,C143*'Калькулятор лизинга'!$K$11/(100+'Калькулятор лизинга'!$K$11))</f>
        <v>0</v>
      </c>
      <c r="E143" s="26">
        <f t="shared" si="8"/>
        <v>0</v>
      </c>
      <c r="F143" s="16">
        <f>IF($J$3="да",E143*'Калькулятор лизинга'!$K$9/100,0)</f>
        <v>0</v>
      </c>
      <c r="G143" s="26">
        <f t="shared" si="9"/>
        <v>0</v>
      </c>
    </row>
    <row r="144" spans="1:7" x14ac:dyDescent="0.25">
      <c r="A144" s="21">
        <v>48030</v>
      </c>
      <c r="B144">
        <v>138</v>
      </c>
      <c r="C144" s="26">
        <f>IF(B144&lt;='Калькулятор лизинга'!$F$16,'Калькулятор лизинга'!Y142,0)+IF(B144='Калькулятор лизинга'!$F$16,'Калькулятор лизинга'!$F$27)</f>
        <v>0</v>
      </c>
      <c r="D144" s="16">
        <f>IF($J$2="нет",0,C144*'Калькулятор лизинга'!$K$11/(100+'Калькулятор лизинга'!$K$11))</f>
        <v>0</v>
      </c>
      <c r="E144" s="26">
        <f t="shared" si="8"/>
        <v>0</v>
      </c>
      <c r="F144" s="16">
        <f>IF($J$3="да",E144*'Калькулятор лизинга'!$K$9/100,0)</f>
        <v>0</v>
      </c>
      <c r="G144" s="26">
        <f t="shared" si="9"/>
        <v>0</v>
      </c>
    </row>
    <row r="145" spans="1:7" x14ac:dyDescent="0.25">
      <c r="A145" s="21">
        <v>48061</v>
      </c>
      <c r="B145">
        <v>139</v>
      </c>
      <c r="C145" s="26">
        <f>IF(B145&lt;='Калькулятор лизинга'!$F$16,'Калькулятор лизинга'!Y143,0)+IF(B145='Калькулятор лизинга'!$F$16,'Калькулятор лизинга'!$F$27)</f>
        <v>0</v>
      </c>
      <c r="D145" s="16">
        <f>IF($J$2="нет",0,C145*'Калькулятор лизинга'!$K$11/(100+'Калькулятор лизинга'!$K$11))</f>
        <v>0</v>
      </c>
      <c r="E145" s="26">
        <f t="shared" si="8"/>
        <v>0</v>
      </c>
      <c r="F145" s="16">
        <f>IF($J$3="да",E145*'Калькулятор лизинга'!$K$9/100,0)</f>
        <v>0</v>
      </c>
      <c r="G145" s="26">
        <f t="shared" si="9"/>
        <v>0</v>
      </c>
    </row>
    <row r="146" spans="1:7" x14ac:dyDescent="0.25">
      <c r="A146" s="21">
        <v>48092</v>
      </c>
      <c r="B146">
        <v>140</v>
      </c>
      <c r="C146" s="26">
        <f>IF(B146&lt;='Калькулятор лизинга'!$F$16,'Калькулятор лизинга'!Y144,0)+IF(B146='Калькулятор лизинга'!$F$16,'Калькулятор лизинга'!$F$27)</f>
        <v>0</v>
      </c>
      <c r="D146" s="16">
        <f>IF($J$2="нет",0,C146*'Калькулятор лизинга'!$K$11/(100+'Калькулятор лизинга'!$K$11))</f>
        <v>0</v>
      </c>
      <c r="E146" s="26">
        <f t="shared" si="8"/>
        <v>0</v>
      </c>
      <c r="F146" s="16">
        <f>IF($J$3="да",E146*'Калькулятор лизинга'!$K$9/100,0)</f>
        <v>0</v>
      </c>
      <c r="G146" s="26">
        <f t="shared" si="9"/>
        <v>0</v>
      </c>
    </row>
    <row r="147" spans="1:7" x14ac:dyDescent="0.25">
      <c r="A147" s="21">
        <v>48122</v>
      </c>
      <c r="B147">
        <v>141</v>
      </c>
      <c r="C147" s="26">
        <f>IF(B147&lt;='Калькулятор лизинга'!$F$16,'Калькулятор лизинга'!Y145,0)+IF(B147='Калькулятор лизинга'!$F$16,'Калькулятор лизинга'!$F$27)</f>
        <v>0</v>
      </c>
      <c r="D147" s="16">
        <f>IF($J$2="нет",0,C147*'Калькулятор лизинга'!$K$11/(100+'Калькулятор лизинга'!$K$11))</f>
        <v>0</v>
      </c>
      <c r="E147" s="26">
        <f t="shared" si="8"/>
        <v>0</v>
      </c>
      <c r="F147" s="16">
        <f>IF($J$3="да",E147*'Калькулятор лизинга'!$K$9/100,0)</f>
        <v>0</v>
      </c>
      <c r="G147" s="26">
        <f t="shared" si="9"/>
        <v>0</v>
      </c>
    </row>
    <row r="148" spans="1:7" x14ac:dyDescent="0.25">
      <c r="A148" s="21">
        <v>48153</v>
      </c>
      <c r="B148">
        <v>142</v>
      </c>
      <c r="C148" s="26">
        <f>IF(B148&lt;='Калькулятор лизинга'!$F$16,'Калькулятор лизинга'!Y146,0)+IF(B148='Калькулятор лизинга'!$F$16,'Калькулятор лизинга'!$F$27)</f>
        <v>0</v>
      </c>
      <c r="D148" s="16">
        <f>IF($J$2="нет",0,C148*'Калькулятор лизинга'!$K$11/(100+'Калькулятор лизинга'!$K$11))</f>
        <v>0</v>
      </c>
      <c r="E148" s="26">
        <f t="shared" si="8"/>
        <v>0</v>
      </c>
      <c r="F148" s="16">
        <f>IF($J$3="да",E148*'Калькулятор лизинга'!$K$9/100,0)</f>
        <v>0</v>
      </c>
      <c r="G148" s="26">
        <f t="shared" si="9"/>
        <v>0</v>
      </c>
    </row>
    <row r="149" spans="1:7" x14ac:dyDescent="0.25">
      <c r="A149" s="21">
        <v>48183</v>
      </c>
      <c r="B149">
        <v>143</v>
      </c>
      <c r="C149" s="26">
        <f>IF(B149&lt;='Калькулятор лизинга'!$F$16,'Калькулятор лизинга'!Y147,0)+IF(B149='Калькулятор лизинга'!$F$16,'Калькулятор лизинга'!$F$27)</f>
        <v>0</v>
      </c>
      <c r="D149" s="16">
        <f>IF($J$2="нет",0,C149*'Калькулятор лизинга'!$K$11/(100+'Калькулятор лизинга'!$K$11))</f>
        <v>0</v>
      </c>
      <c r="E149" s="26">
        <f t="shared" si="8"/>
        <v>0</v>
      </c>
      <c r="F149" s="16">
        <f>IF($J$3="да",E149*'Калькулятор лизинга'!$K$9/100,0)</f>
        <v>0</v>
      </c>
      <c r="G149" s="26">
        <f t="shared" si="9"/>
        <v>0</v>
      </c>
    </row>
    <row r="150" spans="1:7" x14ac:dyDescent="0.25">
      <c r="A150" s="21">
        <v>48214</v>
      </c>
      <c r="B150">
        <v>144</v>
      </c>
      <c r="C150" s="26">
        <f>IF(B150&lt;='Калькулятор лизинга'!$F$16,'Калькулятор лизинга'!Y148,0)+IF(B150='Калькулятор лизинга'!$F$16,'Калькулятор лизинга'!$F$27)</f>
        <v>0</v>
      </c>
      <c r="D150" s="16">
        <f>IF($J$2="нет",0,C150*'Калькулятор лизинга'!$K$11/(100+'Калькулятор лизинга'!$K$11))</f>
        <v>0</v>
      </c>
      <c r="E150" s="26">
        <f t="shared" si="8"/>
        <v>0</v>
      </c>
      <c r="F150" s="16">
        <f>IF($J$3="да",E150*'Калькулятор лизинга'!$K$9/100,0)</f>
        <v>0</v>
      </c>
      <c r="G150" s="26">
        <f t="shared" si="9"/>
        <v>0</v>
      </c>
    </row>
    <row r="151" spans="1:7" x14ac:dyDescent="0.25">
      <c r="A151" s="21">
        <v>48245</v>
      </c>
      <c r="B151">
        <v>145</v>
      </c>
      <c r="C151" s="26">
        <f>IF(B151&lt;='Калькулятор лизинга'!$F$16,'Калькулятор лизинга'!Y149,0)+IF(B151='Калькулятор лизинга'!$F$16,'Калькулятор лизинга'!$F$27)</f>
        <v>0</v>
      </c>
      <c r="D151" s="16">
        <f>IF($J$2="нет",0,C151*'Калькулятор лизинга'!$K$11/(100+'Калькулятор лизинга'!$K$11))</f>
        <v>0</v>
      </c>
      <c r="E151" s="26">
        <f t="shared" si="8"/>
        <v>0</v>
      </c>
      <c r="F151" s="16">
        <f>IF($J$3="да",E151*'Калькулятор лизинга'!$K$9/100,0)</f>
        <v>0</v>
      </c>
      <c r="G151" s="26">
        <f t="shared" si="9"/>
        <v>0</v>
      </c>
    </row>
    <row r="152" spans="1:7" x14ac:dyDescent="0.25">
      <c r="A152" s="21">
        <v>48274</v>
      </c>
      <c r="B152">
        <v>146</v>
      </c>
      <c r="C152" s="26">
        <f>IF(B152&lt;='Калькулятор лизинга'!$F$16,'Калькулятор лизинга'!Y150,0)+IF(B152='Калькулятор лизинга'!$F$16,'Калькулятор лизинга'!$F$27)</f>
        <v>0</v>
      </c>
      <c r="D152" s="16">
        <f>IF($J$2="нет",0,C152*'Калькулятор лизинга'!$K$11/(100+'Калькулятор лизинга'!$K$11))</f>
        <v>0</v>
      </c>
      <c r="E152" s="26">
        <f t="shared" si="8"/>
        <v>0</v>
      </c>
      <c r="F152" s="16">
        <f>IF($J$3="да",E152*'Калькулятор лизинга'!$K$9/100,0)</f>
        <v>0</v>
      </c>
      <c r="G152" s="26">
        <f t="shared" si="9"/>
        <v>0</v>
      </c>
    </row>
    <row r="153" spans="1:7" x14ac:dyDescent="0.25">
      <c r="A153" s="21">
        <v>48305</v>
      </c>
      <c r="B153">
        <v>147</v>
      </c>
      <c r="C153" s="26">
        <f>IF(B153&lt;='Калькулятор лизинга'!$F$16,'Калькулятор лизинга'!Y151,0)+IF(B153='Калькулятор лизинга'!$F$16,'Калькулятор лизинга'!$F$27)</f>
        <v>0</v>
      </c>
      <c r="D153" s="16">
        <f>IF($J$2="нет",0,C153*'Калькулятор лизинга'!$K$11/(100+'Калькулятор лизинга'!$K$11))</f>
        <v>0</v>
      </c>
      <c r="E153" s="26">
        <f t="shared" si="8"/>
        <v>0</v>
      </c>
      <c r="F153" s="16">
        <f>IF($J$3="да",E153*'Калькулятор лизинга'!$K$9/100,0)</f>
        <v>0</v>
      </c>
      <c r="G153" s="26">
        <f t="shared" si="9"/>
        <v>0</v>
      </c>
    </row>
    <row r="154" spans="1:7" x14ac:dyDescent="0.25">
      <c r="A154" s="21">
        <v>48335</v>
      </c>
      <c r="B154">
        <v>148</v>
      </c>
      <c r="C154" s="26">
        <f>IF(B154&lt;='Калькулятор лизинга'!$F$16,'Калькулятор лизинга'!Y152,0)+IF(B154='Калькулятор лизинга'!$F$16,'Калькулятор лизинга'!$F$27)</f>
        <v>0</v>
      </c>
      <c r="D154" s="16">
        <f>IF($J$2="нет",0,C154*'Калькулятор лизинга'!$K$11/(100+'Калькулятор лизинга'!$K$11))</f>
        <v>0</v>
      </c>
      <c r="E154" s="26">
        <f t="shared" si="8"/>
        <v>0</v>
      </c>
      <c r="F154" s="16">
        <f>IF($J$3="да",E154*'Калькулятор лизинга'!$K$9/100,0)</f>
        <v>0</v>
      </c>
      <c r="G154" s="26">
        <f t="shared" si="9"/>
        <v>0</v>
      </c>
    </row>
    <row r="155" spans="1:7" x14ac:dyDescent="0.25">
      <c r="A155" s="21">
        <v>48366</v>
      </c>
      <c r="B155">
        <v>149</v>
      </c>
      <c r="C155" s="26">
        <f>IF(B155&lt;='Калькулятор лизинга'!$F$16,'Калькулятор лизинга'!Y153,0)+IF(B155='Калькулятор лизинга'!$F$16,'Калькулятор лизинга'!$F$27)</f>
        <v>0</v>
      </c>
      <c r="D155" s="16">
        <f>IF($J$2="нет",0,C155*'Калькулятор лизинга'!$K$11/(100+'Калькулятор лизинга'!$K$11))</f>
        <v>0</v>
      </c>
      <c r="E155" s="26">
        <f t="shared" si="8"/>
        <v>0</v>
      </c>
      <c r="F155" s="16">
        <f>IF($J$3="да",E155*'Калькулятор лизинга'!$K$9/100,0)</f>
        <v>0</v>
      </c>
      <c r="G155" s="26">
        <f t="shared" si="9"/>
        <v>0</v>
      </c>
    </row>
    <row r="156" spans="1:7" x14ac:dyDescent="0.25">
      <c r="A156" s="21">
        <v>48396</v>
      </c>
      <c r="B156">
        <v>150</v>
      </c>
      <c r="C156" s="26">
        <f>IF(B156&lt;='Калькулятор лизинга'!$F$16,'Калькулятор лизинга'!Y154,0)+IF(B156='Калькулятор лизинга'!$F$16,'Калькулятор лизинга'!$F$27)</f>
        <v>0</v>
      </c>
      <c r="D156" s="16">
        <f>IF($J$2="нет",0,C156*'Калькулятор лизинга'!$K$11/(100+'Калькулятор лизинга'!$K$11))</f>
        <v>0</v>
      </c>
      <c r="E156" s="26">
        <f t="shared" si="8"/>
        <v>0</v>
      </c>
      <c r="F156" s="16">
        <f>IF($J$3="да",E156*'Калькулятор лизинга'!$K$9/100,0)</f>
        <v>0</v>
      </c>
      <c r="G156" s="26">
        <f t="shared" si="9"/>
        <v>0</v>
      </c>
    </row>
    <row r="157" spans="1:7" x14ac:dyDescent="0.25">
      <c r="A157" s="21">
        <v>48427</v>
      </c>
      <c r="B157">
        <v>151</v>
      </c>
      <c r="C157" s="26">
        <f>IF(B157&lt;='Калькулятор лизинга'!$F$16,'Калькулятор лизинга'!Y155,0)+IF(B157='Калькулятор лизинга'!$F$16,'Калькулятор лизинга'!$F$27)</f>
        <v>0</v>
      </c>
      <c r="D157" s="16">
        <f>IF($J$2="нет",0,C157*'Калькулятор лизинга'!$K$11/(100+'Калькулятор лизинга'!$K$11))</f>
        <v>0</v>
      </c>
      <c r="E157" s="26">
        <f t="shared" si="8"/>
        <v>0</v>
      </c>
      <c r="F157" s="16">
        <f>IF($J$3="да",E157*'Калькулятор лизинга'!$K$9/100,0)</f>
        <v>0</v>
      </c>
      <c r="G157" s="26">
        <f t="shared" si="9"/>
        <v>0</v>
      </c>
    </row>
    <row r="158" spans="1:7" x14ac:dyDescent="0.25">
      <c r="A158" s="21">
        <v>48458</v>
      </c>
      <c r="B158">
        <v>152</v>
      </c>
      <c r="C158" s="26">
        <f>IF(B158&lt;='Калькулятор лизинга'!$F$16,'Калькулятор лизинга'!Y156,0)+IF(B158='Калькулятор лизинга'!$F$16,'Калькулятор лизинга'!$F$27)</f>
        <v>0</v>
      </c>
      <c r="D158" s="16">
        <f>IF($J$2="нет",0,C158*'Калькулятор лизинга'!$K$11/(100+'Калькулятор лизинга'!$K$11))</f>
        <v>0</v>
      </c>
      <c r="E158" s="26">
        <f t="shared" si="8"/>
        <v>0</v>
      </c>
      <c r="F158" s="16">
        <f>IF($J$3="да",E158*'Калькулятор лизинга'!$K$9/100,0)</f>
        <v>0</v>
      </c>
      <c r="G158" s="26">
        <f t="shared" si="9"/>
        <v>0</v>
      </c>
    </row>
    <row r="159" spans="1:7" x14ac:dyDescent="0.25">
      <c r="A159" s="21">
        <v>48488</v>
      </c>
      <c r="B159">
        <v>153</v>
      </c>
      <c r="C159" s="26">
        <f>IF(B159&lt;='Калькулятор лизинга'!$F$16,'Калькулятор лизинга'!Y157,0)+IF(B159='Калькулятор лизинга'!$F$16,'Калькулятор лизинга'!$F$27)</f>
        <v>0</v>
      </c>
      <c r="D159" s="16">
        <f>IF($J$2="нет",0,C159*'Калькулятор лизинга'!$K$11/(100+'Калькулятор лизинга'!$K$11))</f>
        <v>0</v>
      </c>
      <c r="E159" s="26">
        <f t="shared" si="8"/>
        <v>0</v>
      </c>
      <c r="F159" s="16">
        <f>IF($J$3="да",E159*'Калькулятор лизинга'!$K$9/100,0)</f>
        <v>0</v>
      </c>
      <c r="G159" s="26">
        <f t="shared" si="9"/>
        <v>0</v>
      </c>
    </row>
    <row r="160" spans="1:7" x14ac:dyDescent="0.25">
      <c r="A160" s="21">
        <v>48519</v>
      </c>
      <c r="B160">
        <v>154</v>
      </c>
      <c r="C160" s="26">
        <f>IF(B160&lt;='Калькулятор лизинга'!$F$16,'Калькулятор лизинга'!Y158,0)+IF(B160='Калькулятор лизинга'!$F$16,'Калькулятор лизинга'!$F$27)</f>
        <v>0</v>
      </c>
      <c r="D160" s="16">
        <f>IF($J$2="нет",0,C160*'Калькулятор лизинга'!$K$11/(100+'Калькулятор лизинга'!$K$11))</f>
        <v>0</v>
      </c>
      <c r="E160" s="26">
        <f t="shared" si="8"/>
        <v>0</v>
      </c>
      <c r="F160" s="16">
        <f>IF($J$3="да",E160*'Калькулятор лизинга'!$K$9/100,0)</f>
        <v>0</v>
      </c>
      <c r="G160" s="26">
        <f t="shared" si="9"/>
        <v>0</v>
      </c>
    </row>
    <row r="161" spans="1:7" x14ac:dyDescent="0.25">
      <c r="A161" s="21">
        <v>48549</v>
      </c>
      <c r="B161">
        <v>155</v>
      </c>
      <c r="C161" s="26">
        <f>IF(B161&lt;='Калькулятор лизинга'!$F$16,'Калькулятор лизинга'!Y159,0)+IF(B161='Калькулятор лизинга'!$F$16,'Калькулятор лизинга'!$F$27)</f>
        <v>0</v>
      </c>
      <c r="D161" s="16">
        <f>IF($J$2="нет",0,C161*'Калькулятор лизинга'!$K$11/(100+'Калькулятор лизинга'!$K$11))</f>
        <v>0</v>
      </c>
      <c r="E161" s="26">
        <f t="shared" si="8"/>
        <v>0</v>
      </c>
      <c r="F161" s="16">
        <f>IF($J$3="да",E161*'Калькулятор лизинга'!$K$9/100,0)</f>
        <v>0</v>
      </c>
      <c r="G161" s="26">
        <f t="shared" si="9"/>
        <v>0</v>
      </c>
    </row>
    <row r="162" spans="1:7" x14ac:dyDescent="0.25">
      <c r="A162" s="21">
        <v>48580</v>
      </c>
      <c r="B162">
        <v>156</v>
      </c>
      <c r="C162" s="26">
        <f>IF(B162&lt;='Калькулятор лизинга'!$F$16,'Калькулятор лизинга'!Y160,0)+IF(B162='Калькулятор лизинга'!$F$16,'Калькулятор лизинга'!$F$27)</f>
        <v>0</v>
      </c>
      <c r="D162" s="16">
        <f>IF($J$2="нет",0,C162*'Калькулятор лизинга'!$K$11/(100+'Калькулятор лизинга'!$K$11))</f>
        <v>0</v>
      </c>
      <c r="E162" s="26">
        <f t="shared" si="8"/>
        <v>0</v>
      </c>
      <c r="F162" s="16">
        <f>IF($J$3="да",E162*'Калькулятор лизинга'!$K$9/100,0)</f>
        <v>0</v>
      </c>
      <c r="G162" s="26">
        <f t="shared" si="9"/>
        <v>0</v>
      </c>
    </row>
    <row r="163" spans="1:7" x14ac:dyDescent="0.25">
      <c r="A163" s="21">
        <v>48611</v>
      </c>
      <c r="B163">
        <v>157</v>
      </c>
      <c r="C163" s="26">
        <f>IF(B163&lt;='Калькулятор лизинга'!$F$16,'Калькулятор лизинга'!Y161,0)+IF(B163='Калькулятор лизинга'!$F$16,'Калькулятор лизинга'!$F$27)</f>
        <v>0</v>
      </c>
      <c r="D163" s="16">
        <f>IF($J$2="нет",0,C163*'Калькулятор лизинга'!$K$11/(100+'Калькулятор лизинга'!$K$11))</f>
        <v>0</v>
      </c>
      <c r="E163" s="26">
        <f t="shared" si="8"/>
        <v>0</v>
      </c>
      <c r="F163" s="16">
        <f>IF($J$3="да",E163*'Калькулятор лизинга'!$K$9/100,0)</f>
        <v>0</v>
      </c>
      <c r="G163" s="26">
        <f t="shared" si="9"/>
        <v>0</v>
      </c>
    </row>
    <row r="164" spans="1:7" x14ac:dyDescent="0.25">
      <c r="A164" s="21">
        <v>48639</v>
      </c>
      <c r="B164">
        <v>158</v>
      </c>
      <c r="C164" s="26">
        <f>IF(B164&lt;='Калькулятор лизинга'!$F$16,'Калькулятор лизинга'!Y162,0)+IF(B164='Калькулятор лизинга'!$F$16,'Калькулятор лизинга'!$F$27)</f>
        <v>0</v>
      </c>
      <c r="D164" s="16">
        <f>IF($J$2="нет",0,C164*'Калькулятор лизинга'!$K$11/(100+'Калькулятор лизинга'!$K$11))</f>
        <v>0</v>
      </c>
      <c r="E164" s="26">
        <f t="shared" si="8"/>
        <v>0</v>
      </c>
      <c r="F164" s="16">
        <f>IF($J$3="да",E164*'Калькулятор лизинга'!$K$9/100,0)</f>
        <v>0</v>
      </c>
      <c r="G164" s="26">
        <f t="shared" si="9"/>
        <v>0</v>
      </c>
    </row>
    <row r="165" spans="1:7" x14ac:dyDescent="0.25">
      <c r="A165" s="21">
        <v>48670</v>
      </c>
      <c r="B165">
        <v>159</v>
      </c>
      <c r="C165" s="26">
        <f>IF(B165&lt;='Калькулятор лизинга'!$F$16,'Калькулятор лизинга'!Y163,0)+IF(B165='Калькулятор лизинга'!$F$16,'Калькулятор лизинга'!$F$27)</f>
        <v>0</v>
      </c>
      <c r="D165" s="16">
        <f>IF($J$2="нет",0,C165*'Калькулятор лизинга'!$K$11/(100+'Калькулятор лизинга'!$K$11))</f>
        <v>0</v>
      </c>
      <c r="E165" s="26">
        <f t="shared" si="8"/>
        <v>0</v>
      </c>
      <c r="F165" s="16">
        <f>IF($J$3="да",E165*'Калькулятор лизинга'!$K$9/100,0)</f>
        <v>0</v>
      </c>
      <c r="G165" s="26">
        <f t="shared" si="9"/>
        <v>0</v>
      </c>
    </row>
    <row r="166" spans="1:7" x14ac:dyDescent="0.25">
      <c r="A166" s="21">
        <v>48700</v>
      </c>
      <c r="B166">
        <v>160</v>
      </c>
      <c r="C166" s="26">
        <f>IF(B166&lt;='Калькулятор лизинга'!$F$16,'Калькулятор лизинга'!Y164,0)+IF(B166='Калькулятор лизинга'!$F$16,'Калькулятор лизинга'!$F$27)</f>
        <v>0</v>
      </c>
      <c r="D166" s="16">
        <f>IF($J$2="нет",0,C166*'Калькулятор лизинга'!$K$11/(100+'Калькулятор лизинга'!$K$11))</f>
        <v>0</v>
      </c>
      <c r="E166" s="26">
        <f t="shared" si="8"/>
        <v>0</v>
      </c>
      <c r="F166" s="16">
        <f>IF($J$3="да",E166*'Калькулятор лизинга'!$K$9/100,0)</f>
        <v>0</v>
      </c>
      <c r="G166" s="26">
        <f t="shared" si="9"/>
        <v>0</v>
      </c>
    </row>
    <row r="167" spans="1:7" x14ac:dyDescent="0.25">
      <c r="A167" s="21">
        <v>48731</v>
      </c>
      <c r="B167">
        <v>161</v>
      </c>
      <c r="C167" s="26">
        <f>IF(B167&lt;='Калькулятор лизинга'!$F$16,'Калькулятор лизинга'!Y165,0)+IF(B167='Калькулятор лизинга'!$F$16,'Калькулятор лизинга'!$F$27)</f>
        <v>0</v>
      </c>
      <c r="D167" s="16">
        <f>IF($J$2="нет",0,C167*'Калькулятор лизинга'!$K$11/(100+'Калькулятор лизинга'!$K$11))</f>
        <v>0</v>
      </c>
      <c r="E167" s="26">
        <f t="shared" ref="E167:E186" si="10">C167-D167</f>
        <v>0</v>
      </c>
      <c r="F167" s="16">
        <f>IF($J$3="да",E167*'Калькулятор лизинга'!$K$9/100,0)</f>
        <v>0</v>
      </c>
      <c r="G167" s="26">
        <f t="shared" ref="G167:G186" si="11">E167-F167</f>
        <v>0</v>
      </c>
    </row>
    <row r="168" spans="1:7" x14ac:dyDescent="0.25">
      <c r="A168" s="21">
        <v>48761</v>
      </c>
      <c r="B168">
        <v>162</v>
      </c>
      <c r="C168" s="26">
        <f>IF(B168&lt;='Калькулятор лизинга'!$F$16,'Калькулятор лизинга'!Y166,0)+IF(B168='Калькулятор лизинга'!$F$16,'Калькулятор лизинга'!$F$27)</f>
        <v>0</v>
      </c>
      <c r="D168" s="16">
        <f>IF($J$2="нет",0,C168*'Калькулятор лизинга'!$K$11/(100+'Калькулятор лизинга'!$K$11))</f>
        <v>0</v>
      </c>
      <c r="E168" s="26">
        <f t="shared" si="10"/>
        <v>0</v>
      </c>
      <c r="F168" s="16">
        <f>IF($J$3="да",E168*'Калькулятор лизинга'!$K$9/100,0)</f>
        <v>0</v>
      </c>
      <c r="G168" s="26">
        <f t="shared" si="11"/>
        <v>0</v>
      </c>
    </row>
    <row r="169" spans="1:7" x14ac:dyDescent="0.25">
      <c r="A169" s="21">
        <v>48792</v>
      </c>
      <c r="B169">
        <v>163</v>
      </c>
      <c r="C169" s="26">
        <f>IF(B169&lt;='Калькулятор лизинга'!$F$16,'Калькулятор лизинга'!Y167,0)+IF(B169='Калькулятор лизинга'!$F$16,'Калькулятор лизинга'!$F$27)</f>
        <v>0</v>
      </c>
      <c r="D169" s="16">
        <f>IF($J$2="нет",0,C169*'Калькулятор лизинга'!$K$11/(100+'Калькулятор лизинга'!$K$11))</f>
        <v>0</v>
      </c>
      <c r="E169" s="26">
        <f t="shared" si="10"/>
        <v>0</v>
      </c>
      <c r="F169" s="16">
        <f>IF($J$3="да",E169*'Калькулятор лизинга'!$K$9/100,0)</f>
        <v>0</v>
      </c>
      <c r="G169" s="26">
        <f t="shared" si="11"/>
        <v>0</v>
      </c>
    </row>
    <row r="170" spans="1:7" x14ac:dyDescent="0.25">
      <c r="A170" s="21">
        <v>48823</v>
      </c>
      <c r="B170">
        <v>164</v>
      </c>
      <c r="C170" s="26">
        <f>IF(B170&lt;='Калькулятор лизинга'!$F$16,'Калькулятор лизинга'!Y168,0)+IF(B170='Калькулятор лизинга'!$F$16,'Калькулятор лизинга'!$F$27)</f>
        <v>0</v>
      </c>
      <c r="D170" s="16">
        <f>IF($J$2="нет",0,C170*'Калькулятор лизинга'!$K$11/(100+'Калькулятор лизинга'!$K$11))</f>
        <v>0</v>
      </c>
      <c r="E170" s="26">
        <f t="shared" si="10"/>
        <v>0</v>
      </c>
      <c r="F170" s="16">
        <f>IF($J$3="да",E170*'Калькулятор лизинга'!$K$9/100,0)</f>
        <v>0</v>
      </c>
      <c r="G170" s="26">
        <f t="shared" si="11"/>
        <v>0</v>
      </c>
    </row>
    <row r="171" spans="1:7" x14ac:dyDescent="0.25">
      <c r="A171" s="21">
        <v>48853</v>
      </c>
      <c r="B171">
        <v>165</v>
      </c>
      <c r="C171" s="26">
        <f>IF(B171&lt;='Калькулятор лизинга'!$F$16,'Калькулятор лизинга'!Y169,0)+IF(B171='Калькулятор лизинга'!$F$16,'Калькулятор лизинга'!$F$27)</f>
        <v>0</v>
      </c>
      <c r="D171" s="16">
        <f>IF($J$2="нет",0,C171*'Калькулятор лизинга'!$K$11/(100+'Калькулятор лизинга'!$K$11))</f>
        <v>0</v>
      </c>
      <c r="E171" s="26">
        <f t="shared" si="10"/>
        <v>0</v>
      </c>
      <c r="F171" s="16">
        <f>IF($J$3="да",E171*'Калькулятор лизинга'!$K$9/100,0)</f>
        <v>0</v>
      </c>
      <c r="G171" s="26">
        <f t="shared" si="11"/>
        <v>0</v>
      </c>
    </row>
    <row r="172" spans="1:7" x14ac:dyDescent="0.25">
      <c r="A172" s="21">
        <v>48884</v>
      </c>
      <c r="B172">
        <v>166</v>
      </c>
      <c r="C172" s="26">
        <f>IF(B172&lt;='Калькулятор лизинга'!$F$16,'Калькулятор лизинга'!Y170,0)+IF(B172='Калькулятор лизинга'!$F$16,'Калькулятор лизинга'!$F$27)</f>
        <v>0</v>
      </c>
      <c r="D172" s="16">
        <f>IF($J$2="нет",0,C172*'Калькулятор лизинга'!$K$11/(100+'Калькулятор лизинга'!$K$11))</f>
        <v>0</v>
      </c>
      <c r="E172" s="26">
        <f t="shared" si="10"/>
        <v>0</v>
      </c>
      <c r="F172" s="16">
        <f>IF($J$3="да",E172*'Калькулятор лизинга'!$K$9/100,0)</f>
        <v>0</v>
      </c>
      <c r="G172" s="26">
        <f t="shared" si="11"/>
        <v>0</v>
      </c>
    </row>
    <row r="173" spans="1:7" x14ac:dyDescent="0.25">
      <c r="A173" s="21">
        <v>48914</v>
      </c>
      <c r="B173">
        <v>167</v>
      </c>
      <c r="C173" s="26">
        <f>IF(B173&lt;='Калькулятор лизинга'!$F$16,'Калькулятор лизинга'!Y171,0)+IF(B173='Калькулятор лизинга'!$F$16,'Калькулятор лизинга'!$F$27)</f>
        <v>0</v>
      </c>
      <c r="D173" s="16">
        <f>IF($J$2="нет",0,C173*'Калькулятор лизинга'!$K$11/(100+'Калькулятор лизинга'!$K$11))</f>
        <v>0</v>
      </c>
      <c r="E173" s="26">
        <f t="shared" si="10"/>
        <v>0</v>
      </c>
      <c r="F173" s="16">
        <f>IF($J$3="да",E173*'Калькулятор лизинга'!$K$9/100,0)</f>
        <v>0</v>
      </c>
      <c r="G173" s="26">
        <f t="shared" si="11"/>
        <v>0</v>
      </c>
    </row>
    <row r="174" spans="1:7" x14ac:dyDescent="0.25">
      <c r="A174" s="21">
        <v>48945</v>
      </c>
      <c r="B174">
        <v>168</v>
      </c>
      <c r="C174" s="26">
        <f>IF(B174&lt;='Калькулятор лизинга'!$F$16,'Калькулятор лизинга'!Y172,0)+IF(B174='Калькулятор лизинга'!$F$16,'Калькулятор лизинга'!$F$27)</f>
        <v>0</v>
      </c>
      <c r="D174" s="16">
        <f>IF($J$2="нет",0,C174*'Калькулятор лизинга'!$K$11/(100+'Калькулятор лизинга'!$K$11))</f>
        <v>0</v>
      </c>
      <c r="E174" s="26">
        <f t="shared" si="10"/>
        <v>0</v>
      </c>
      <c r="F174" s="16">
        <f>IF($J$3="да",E174*'Калькулятор лизинга'!$K$9/100,0)</f>
        <v>0</v>
      </c>
      <c r="G174" s="26">
        <f t="shared" si="11"/>
        <v>0</v>
      </c>
    </row>
    <row r="175" spans="1:7" x14ac:dyDescent="0.25">
      <c r="A175" s="21">
        <v>48976</v>
      </c>
      <c r="B175">
        <v>169</v>
      </c>
      <c r="C175" s="26">
        <f>IF(B175&lt;='Калькулятор лизинга'!$F$16,'Калькулятор лизинга'!Y173,0)+IF(B175='Калькулятор лизинга'!$F$16,'Калькулятор лизинга'!$F$27)</f>
        <v>0</v>
      </c>
      <c r="D175" s="16">
        <f>IF($J$2="нет",0,C175*'Калькулятор лизинга'!$K$11/(100+'Калькулятор лизинга'!$K$11))</f>
        <v>0</v>
      </c>
      <c r="E175" s="26">
        <f t="shared" si="10"/>
        <v>0</v>
      </c>
      <c r="F175" s="16">
        <f>IF($J$3="да",E175*'Калькулятор лизинга'!$K$9/100,0)</f>
        <v>0</v>
      </c>
      <c r="G175" s="26">
        <f t="shared" si="11"/>
        <v>0</v>
      </c>
    </row>
    <row r="176" spans="1:7" x14ac:dyDescent="0.25">
      <c r="A176" s="21">
        <v>49004</v>
      </c>
      <c r="B176">
        <v>170</v>
      </c>
      <c r="C176" s="26">
        <f>IF(B176&lt;='Калькулятор лизинга'!$F$16,'Калькулятор лизинга'!Y174,0)+IF(B176='Калькулятор лизинга'!$F$16,'Калькулятор лизинга'!$F$27)</f>
        <v>0</v>
      </c>
      <c r="D176" s="16">
        <f>IF($J$2="нет",0,C176*'Калькулятор лизинга'!$K$11/(100+'Калькулятор лизинга'!$K$11))</f>
        <v>0</v>
      </c>
      <c r="E176" s="26">
        <f t="shared" si="10"/>
        <v>0</v>
      </c>
      <c r="F176" s="16">
        <f>IF($J$3="да",E176*'Калькулятор лизинга'!$K$9/100,0)</f>
        <v>0</v>
      </c>
      <c r="G176" s="26">
        <f t="shared" si="11"/>
        <v>0</v>
      </c>
    </row>
    <row r="177" spans="1:7" x14ac:dyDescent="0.25">
      <c r="A177" s="21">
        <v>49035</v>
      </c>
      <c r="B177">
        <v>171</v>
      </c>
      <c r="C177" s="26">
        <f>IF(B177&lt;='Калькулятор лизинга'!$F$16,'Калькулятор лизинга'!Y175,0)+IF(B177='Калькулятор лизинга'!$F$16,'Калькулятор лизинга'!$F$27)</f>
        <v>0</v>
      </c>
      <c r="D177" s="16">
        <f>IF($J$2="нет",0,C177*'Калькулятор лизинга'!$K$11/(100+'Калькулятор лизинга'!$K$11))</f>
        <v>0</v>
      </c>
      <c r="E177" s="26">
        <f t="shared" si="10"/>
        <v>0</v>
      </c>
      <c r="F177" s="16">
        <f>IF($J$3="да",E177*'Калькулятор лизинга'!$K$9/100,0)</f>
        <v>0</v>
      </c>
      <c r="G177" s="26">
        <f t="shared" si="11"/>
        <v>0</v>
      </c>
    </row>
    <row r="178" spans="1:7" x14ac:dyDescent="0.25">
      <c r="A178" s="21">
        <v>49065</v>
      </c>
      <c r="B178">
        <v>172</v>
      </c>
      <c r="C178" s="26">
        <f>IF(B178&lt;='Калькулятор лизинга'!$F$16,'Калькулятор лизинга'!Y176,0)+IF(B178='Калькулятор лизинга'!$F$16,'Калькулятор лизинга'!$F$27)</f>
        <v>0</v>
      </c>
      <c r="D178" s="16">
        <f>IF($J$2="нет",0,C178*'Калькулятор лизинга'!$K$11/(100+'Калькулятор лизинга'!$K$11))</f>
        <v>0</v>
      </c>
      <c r="E178" s="26">
        <f t="shared" si="10"/>
        <v>0</v>
      </c>
      <c r="F178" s="16">
        <f>IF($J$3="да",E178*'Калькулятор лизинга'!$K$9/100,0)</f>
        <v>0</v>
      </c>
      <c r="G178" s="26">
        <f t="shared" si="11"/>
        <v>0</v>
      </c>
    </row>
    <row r="179" spans="1:7" x14ac:dyDescent="0.25">
      <c r="A179" s="21">
        <v>49096</v>
      </c>
      <c r="B179">
        <v>173</v>
      </c>
      <c r="C179" s="26">
        <f>IF(B179&lt;='Калькулятор лизинга'!$F$16,'Калькулятор лизинга'!Y177,0)+IF(B179='Калькулятор лизинга'!$F$16,'Калькулятор лизинга'!$F$27)</f>
        <v>0</v>
      </c>
      <c r="D179" s="16">
        <f>IF($J$2="нет",0,C179*'Калькулятор лизинга'!$K$11/(100+'Калькулятор лизинга'!$K$11))</f>
        <v>0</v>
      </c>
      <c r="E179" s="26">
        <f t="shared" si="10"/>
        <v>0</v>
      </c>
      <c r="F179" s="16">
        <f>IF($J$3="да",E179*'Калькулятор лизинга'!$K$9/100,0)</f>
        <v>0</v>
      </c>
      <c r="G179" s="26">
        <f t="shared" si="11"/>
        <v>0</v>
      </c>
    </row>
    <row r="180" spans="1:7" x14ac:dyDescent="0.25">
      <c r="A180" s="21">
        <v>49126</v>
      </c>
      <c r="B180">
        <v>174</v>
      </c>
      <c r="C180" s="26">
        <f>IF(B180&lt;='Калькулятор лизинга'!$F$16,'Калькулятор лизинга'!Y178,0)+IF(B180='Калькулятор лизинга'!$F$16,'Калькулятор лизинга'!$F$27)</f>
        <v>0</v>
      </c>
      <c r="D180" s="16">
        <f>IF($J$2="нет",0,C180*'Калькулятор лизинга'!$K$11/(100+'Калькулятор лизинга'!$K$11))</f>
        <v>0</v>
      </c>
      <c r="E180" s="26">
        <f t="shared" si="10"/>
        <v>0</v>
      </c>
      <c r="F180" s="16">
        <f>IF($J$3="да",E180*'Калькулятор лизинга'!$K$9/100,0)</f>
        <v>0</v>
      </c>
      <c r="G180" s="26">
        <f t="shared" si="11"/>
        <v>0</v>
      </c>
    </row>
    <row r="181" spans="1:7" x14ac:dyDescent="0.25">
      <c r="A181" s="21">
        <v>49157</v>
      </c>
      <c r="B181">
        <v>175</v>
      </c>
      <c r="C181" s="26">
        <f>IF(B181&lt;='Калькулятор лизинга'!$F$16,'Калькулятор лизинга'!Y179,0)+IF(B181='Калькулятор лизинга'!$F$16,'Калькулятор лизинга'!$F$27)</f>
        <v>0</v>
      </c>
      <c r="D181" s="16">
        <f>IF($J$2="нет",0,C181*'Калькулятор лизинга'!$K$11/(100+'Калькулятор лизинга'!$K$11))</f>
        <v>0</v>
      </c>
      <c r="E181" s="26">
        <f t="shared" si="10"/>
        <v>0</v>
      </c>
      <c r="F181" s="16">
        <f>IF($J$3="да",E181*'Калькулятор лизинга'!$K$9/100,0)</f>
        <v>0</v>
      </c>
      <c r="G181" s="26">
        <f t="shared" si="11"/>
        <v>0</v>
      </c>
    </row>
    <row r="182" spans="1:7" x14ac:dyDescent="0.25">
      <c r="A182" s="21">
        <v>49188</v>
      </c>
      <c r="B182">
        <v>176</v>
      </c>
      <c r="C182" s="26">
        <f>IF(B182&lt;='Калькулятор лизинга'!$F$16,'Калькулятор лизинга'!Y180,0)+IF(B182='Калькулятор лизинга'!$F$16,'Калькулятор лизинга'!$F$27)</f>
        <v>0</v>
      </c>
      <c r="D182" s="16">
        <f>IF($J$2="нет",0,C182*'Калькулятор лизинга'!$K$11/(100+'Калькулятор лизинга'!$K$11))</f>
        <v>0</v>
      </c>
      <c r="E182" s="26">
        <f t="shared" si="10"/>
        <v>0</v>
      </c>
      <c r="F182" s="16">
        <f>IF($J$3="да",E182*'Калькулятор лизинга'!$K$9/100,0)</f>
        <v>0</v>
      </c>
      <c r="G182" s="26">
        <f t="shared" si="11"/>
        <v>0</v>
      </c>
    </row>
    <row r="183" spans="1:7" x14ac:dyDescent="0.25">
      <c r="A183" s="21">
        <v>49218</v>
      </c>
      <c r="B183">
        <v>177</v>
      </c>
      <c r="C183" s="26">
        <f>IF(B183&lt;='Калькулятор лизинга'!$F$16,'Калькулятор лизинга'!Y181,0)+IF(B183='Калькулятор лизинга'!$F$16,'Калькулятор лизинга'!$F$27)</f>
        <v>0</v>
      </c>
      <c r="D183" s="16">
        <f>IF($J$2="нет",0,C183*'Калькулятор лизинга'!$K$11/(100+'Калькулятор лизинга'!$K$11))</f>
        <v>0</v>
      </c>
      <c r="E183" s="26">
        <f t="shared" si="10"/>
        <v>0</v>
      </c>
      <c r="F183" s="16">
        <f>IF($J$3="да",E183*'Калькулятор лизинга'!$K$9/100,0)</f>
        <v>0</v>
      </c>
      <c r="G183" s="26">
        <f t="shared" si="11"/>
        <v>0</v>
      </c>
    </row>
    <row r="184" spans="1:7" x14ac:dyDescent="0.25">
      <c r="A184" s="21">
        <v>49249</v>
      </c>
      <c r="B184">
        <v>178</v>
      </c>
      <c r="C184" s="26">
        <f>IF(B184&lt;='Калькулятор лизинга'!$F$16,'Калькулятор лизинга'!Y182,0)+IF(B184='Калькулятор лизинга'!$F$16,'Калькулятор лизинга'!$F$27)</f>
        <v>0</v>
      </c>
      <c r="D184" s="16">
        <f>IF($J$2="нет",0,C184*'Калькулятор лизинга'!$K$11/(100+'Калькулятор лизинга'!$K$11))</f>
        <v>0</v>
      </c>
      <c r="E184" s="26">
        <f t="shared" si="10"/>
        <v>0</v>
      </c>
      <c r="F184" s="16">
        <f>IF($J$3="да",E184*'Калькулятор лизинга'!$K$9/100,0)</f>
        <v>0</v>
      </c>
      <c r="G184" s="26">
        <f t="shared" si="11"/>
        <v>0</v>
      </c>
    </row>
    <row r="185" spans="1:7" x14ac:dyDescent="0.25">
      <c r="A185" s="21">
        <v>49279</v>
      </c>
      <c r="B185">
        <v>179</v>
      </c>
      <c r="C185" s="26">
        <f>IF(B185&lt;='Калькулятор лизинга'!$F$16,'Калькулятор лизинга'!Y183,0)+IF(B185='Калькулятор лизинга'!$F$16,'Калькулятор лизинга'!$F$27)</f>
        <v>0</v>
      </c>
      <c r="D185" s="16">
        <f>IF($J$2="нет",0,C185*'Калькулятор лизинга'!$K$11/(100+'Калькулятор лизинга'!$K$11))</f>
        <v>0</v>
      </c>
      <c r="E185" s="26">
        <f t="shared" si="10"/>
        <v>0</v>
      </c>
      <c r="F185" s="16">
        <f>IF($J$3="да",E185*'Калькулятор лизинга'!$K$9/100,0)</f>
        <v>0</v>
      </c>
      <c r="G185" s="26">
        <f t="shared" si="11"/>
        <v>0</v>
      </c>
    </row>
    <row r="186" spans="1:7" x14ac:dyDescent="0.25">
      <c r="A186" s="21">
        <v>49310</v>
      </c>
      <c r="B186">
        <v>180</v>
      </c>
      <c r="C186" s="26">
        <f>IF(B186&lt;='Калькулятор лизинга'!$F$16,'Калькулятор лизинга'!Y184,0)+IF(B186='Калькулятор лизинга'!$F$16,'Калькулятор лизинга'!$F$27)</f>
        <v>0</v>
      </c>
      <c r="D186" s="16">
        <f>IF($J$2="нет",0,C186*'Калькулятор лизинга'!$K$11/(100+'Калькулятор лизинга'!$K$11))</f>
        <v>0</v>
      </c>
      <c r="E186" s="26">
        <f t="shared" si="10"/>
        <v>0</v>
      </c>
      <c r="F186" s="16">
        <f>IF($J$3="да",E186*'Калькулятор лизинга'!$K$9/100,0)</f>
        <v>0</v>
      </c>
      <c r="G186" s="26">
        <f t="shared" si="11"/>
        <v>0</v>
      </c>
    </row>
  </sheetData>
  <pageMargins left="0.7" right="0.7" top="0.75" bottom="0.75" header="0.3" footer="0.3"/>
  <ignoredErrors>
    <ignoredError sqref="F7:F186 E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C189"/>
  <sheetViews>
    <sheetView topLeftCell="M18" zoomScale="80" zoomScaleNormal="80" workbookViewId="0">
      <selection activeCell="O18" sqref="O18:Q20"/>
    </sheetView>
  </sheetViews>
  <sheetFormatPr defaultRowHeight="15" x14ac:dyDescent="0.25"/>
  <cols>
    <col min="1" max="1" width="9.140625" customWidth="1"/>
    <col min="3" max="3" width="9.5703125" bestFit="1" customWidth="1"/>
    <col min="4" max="4" width="15.7109375" customWidth="1"/>
    <col min="5" max="5" width="12.140625" bestFit="1" customWidth="1"/>
    <col min="6" max="6" width="11.28515625" bestFit="1" customWidth="1"/>
    <col min="8" max="8" width="10.85546875" bestFit="1" customWidth="1"/>
    <col min="9" max="9" width="14.5703125" bestFit="1" customWidth="1"/>
    <col min="10" max="10" width="17" customWidth="1"/>
    <col min="11" max="11" width="17.7109375" customWidth="1"/>
    <col min="12" max="13" width="15.28515625" style="24" customWidth="1"/>
    <col min="14" max="14" width="19" customWidth="1"/>
    <col min="15" max="15" width="13" customWidth="1"/>
    <col min="16" max="18" width="13" hidden="1" customWidth="1"/>
    <col min="19" max="19" width="14.28515625" style="24" hidden="1" customWidth="1"/>
    <col min="20" max="20" width="9.42578125" hidden="1" customWidth="1"/>
    <col min="21" max="22" width="18.140625" style="24" customWidth="1"/>
    <col min="23" max="23" width="20.42578125" customWidth="1"/>
    <col min="24" max="25" width="18.28515625" customWidth="1"/>
    <col min="26" max="27" width="18.140625" style="24" customWidth="1"/>
    <col min="28" max="28" width="14.5703125" bestFit="1" customWidth="1"/>
    <col min="29" max="29" width="15.5703125" bestFit="1" customWidth="1"/>
  </cols>
  <sheetData>
    <row r="1" spans="1:29" x14ac:dyDescent="0.25">
      <c r="K1" t="s">
        <v>38</v>
      </c>
      <c r="O1" t="s">
        <v>39</v>
      </c>
      <c r="W1" t="s">
        <v>45</v>
      </c>
      <c r="X1" t="s">
        <v>41</v>
      </c>
    </row>
    <row r="3" spans="1:29" x14ac:dyDescent="0.25">
      <c r="G3" t="s">
        <v>46</v>
      </c>
      <c r="L3" s="35">
        <f>XIRR(L9:L189,H9:H189)</f>
        <v>0.54393768906593321</v>
      </c>
      <c r="M3" s="35">
        <f>XIRR(M9:M189,H9:H189)</f>
        <v>0.54542704224586491</v>
      </c>
      <c r="S3" s="30">
        <f>XIRR(S9:S189,H9:H189)</f>
        <v>1.0425814986228947</v>
      </c>
      <c r="U3" s="35">
        <f>XIRR(U9:U189,H9:H189)</f>
        <v>0.39029864668846137</v>
      </c>
      <c r="V3" s="35">
        <f>XIRR(V9:V189,H9:H189)</f>
        <v>0.39145082831382749</v>
      </c>
      <c r="W3" s="29"/>
      <c r="Y3" s="17">
        <f>SUM(W4:Y4)</f>
        <v>1795350.5306662207</v>
      </c>
      <c r="Z3" s="30">
        <f>XIRR(Z9:Z189,H9:H189)</f>
        <v>0.23323543667793276</v>
      </c>
      <c r="AA3" s="30">
        <f>XIRR(AA9:AA189,H9:H189)</f>
        <v>0.23408146500587465</v>
      </c>
    </row>
    <row r="4" spans="1:29" x14ac:dyDescent="0.25">
      <c r="I4" s="16">
        <f>SUM(I8:I189)</f>
        <v>2444166.6666666702</v>
      </c>
      <c r="J4" s="16">
        <f>SUM(J8:J189)</f>
        <v>488833.33333333407</v>
      </c>
      <c r="K4" s="16">
        <f>SUM(K8:K189)</f>
        <v>5473359.9999999963</v>
      </c>
      <c r="L4" s="26">
        <f>SUM(L10:L189)+D19</f>
        <v>9663360</v>
      </c>
      <c r="M4" s="26">
        <f>SUM(M10:M189)+D19</f>
        <v>9675730.4402410444</v>
      </c>
      <c r="N4" s="16"/>
      <c r="O4" s="16">
        <f>SUM(O8:O189)</f>
        <v>698333.33333333337</v>
      </c>
      <c r="P4" s="16"/>
      <c r="Q4" s="16"/>
      <c r="R4" s="16"/>
      <c r="S4" s="26"/>
      <c r="T4" s="16"/>
      <c r="W4" s="16">
        <f>SUM(W10:W189)</f>
        <v>1094671.9999999988</v>
      </c>
      <c r="X4" s="3">
        <f>SUM(X10:X189)</f>
        <v>698333.33333333279</v>
      </c>
      <c r="Y4" s="3">
        <f>SUM(Y10:Y189)</f>
        <v>2345.1973328891245</v>
      </c>
      <c r="AB4" s="3">
        <f>SUM(AB10:AB189)</f>
        <v>12370.440241046201</v>
      </c>
    </row>
    <row r="5" spans="1:29" x14ac:dyDescent="0.25">
      <c r="I5" s="1"/>
      <c r="J5" s="1"/>
      <c r="K5" s="1" t="s">
        <v>24</v>
      </c>
      <c r="L5" s="27"/>
      <c r="M5" s="27"/>
      <c r="O5" s="1"/>
      <c r="P5" s="1"/>
      <c r="Q5" s="1"/>
      <c r="R5" s="1"/>
      <c r="S5" s="27"/>
      <c r="T5" s="1"/>
      <c r="U5" s="28"/>
      <c r="V5" s="28"/>
      <c r="Z5" s="28"/>
      <c r="AA5" s="28"/>
    </row>
    <row r="6" spans="1:29" ht="21.75" customHeight="1" x14ac:dyDescent="0.25">
      <c r="G6" s="172" t="s">
        <v>13</v>
      </c>
      <c r="H6" s="20"/>
      <c r="I6" s="167" t="s">
        <v>15</v>
      </c>
      <c r="J6" s="167"/>
      <c r="K6" s="167" t="s">
        <v>23</v>
      </c>
      <c r="L6" s="168" t="s">
        <v>31</v>
      </c>
      <c r="M6" s="168" t="s">
        <v>142</v>
      </c>
      <c r="N6" s="167" t="s">
        <v>54</v>
      </c>
      <c r="O6" s="167" t="s">
        <v>4</v>
      </c>
      <c r="P6" s="167" t="s">
        <v>53</v>
      </c>
      <c r="Q6" s="167" t="s">
        <v>49</v>
      </c>
      <c r="R6" s="167" t="s">
        <v>48</v>
      </c>
      <c r="S6" s="168" t="s">
        <v>50</v>
      </c>
      <c r="T6" s="167" t="s">
        <v>34</v>
      </c>
      <c r="U6" s="173" t="s">
        <v>50</v>
      </c>
      <c r="V6" s="173" t="s">
        <v>139</v>
      </c>
      <c r="W6" s="170" t="s">
        <v>33</v>
      </c>
      <c r="X6" s="170" t="s">
        <v>30</v>
      </c>
      <c r="Y6" s="170" t="s">
        <v>141</v>
      </c>
      <c r="Z6" s="173" t="s">
        <v>52</v>
      </c>
      <c r="AA6" s="173" t="s">
        <v>140</v>
      </c>
      <c r="AB6" s="165" t="s">
        <v>130</v>
      </c>
      <c r="AC6" s="3"/>
    </row>
    <row r="7" spans="1:29" ht="23.25" customHeight="1" x14ac:dyDescent="0.25">
      <c r="D7" s="3"/>
      <c r="G7" s="172"/>
      <c r="H7" s="20"/>
      <c r="I7" s="15" t="s">
        <v>14</v>
      </c>
      <c r="J7" s="15" t="s">
        <v>3</v>
      </c>
      <c r="K7" s="167"/>
      <c r="L7" s="168"/>
      <c r="M7" s="168"/>
      <c r="N7" s="167"/>
      <c r="O7" s="167"/>
      <c r="P7" s="167"/>
      <c r="Q7" s="167"/>
      <c r="R7" s="167"/>
      <c r="S7" s="168"/>
      <c r="T7" s="167"/>
      <c r="U7" s="173"/>
      <c r="V7" s="173"/>
      <c r="W7" s="170"/>
      <c r="X7" s="170"/>
      <c r="Y7" s="170"/>
      <c r="Z7" s="173"/>
      <c r="AA7" s="173"/>
      <c r="AB7" s="165"/>
      <c r="AC7" s="3"/>
    </row>
    <row r="8" spans="1:29" x14ac:dyDescent="0.25">
      <c r="D8" s="3"/>
      <c r="F8" s="165" t="s">
        <v>124</v>
      </c>
      <c r="G8" s="165"/>
      <c r="I8" s="16"/>
      <c r="J8" s="16"/>
      <c r="K8" s="16"/>
      <c r="L8" s="26">
        <f>SUM(I8:J8)</f>
        <v>0</v>
      </c>
      <c r="M8" s="26"/>
      <c r="N8" s="16">
        <f>D11-D19</f>
        <v>2933000</v>
      </c>
      <c r="O8" s="16">
        <f>IF($D$37="да",D12,0)</f>
        <v>698333.33333333337</v>
      </c>
      <c r="P8" s="16"/>
      <c r="Q8" s="16"/>
      <c r="S8" s="26"/>
      <c r="T8" s="16"/>
      <c r="W8" s="3"/>
      <c r="AC8" s="3"/>
    </row>
    <row r="9" spans="1:29" x14ac:dyDescent="0.25">
      <c r="D9" s="3"/>
      <c r="G9">
        <v>0</v>
      </c>
      <c r="H9" s="21">
        <v>43831</v>
      </c>
      <c r="I9" s="16"/>
      <c r="J9" s="16"/>
      <c r="K9" s="16"/>
      <c r="L9" s="26">
        <f>-D11+D19</f>
        <v>-2933000</v>
      </c>
      <c r="M9" s="26">
        <f>L9</f>
        <v>-2933000</v>
      </c>
      <c r="N9" s="16"/>
      <c r="O9" s="16"/>
      <c r="P9" s="16"/>
      <c r="Q9" s="16"/>
      <c r="R9" s="16">
        <f>$D$13</f>
        <v>3491666.6666666665</v>
      </c>
      <c r="S9" s="26">
        <f>L9+O8</f>
        <v>-2234666.6666666665</v>
      </c>
      <c r="T9" s="16"/>
      <c r="U9" s="31">
        <f>L9</f>
        <v>-2933000</v>
      </c>
      <c r="V9" s="31">
        <f>U9</f>
        <v>-2933000</v>
      </c>
      <c r="W9" s="3"/>
      <c r="Z9" s="31">
        <f>U9</f>
        <v>-2933000</v>
      </c>
      <c r="AA9" s="31">
        <f>Z9</f>
        <v>-2933000</v>
      </c>
    </row>
    <row r="10" spans="1:29" x14ac:dyDescent="0.25">
      <c r="D10" s="3"/>
      <c r="G10">
        <v>1</v>
      </c>
      <c r="H10" s="21">
        <v>43862</v>
      </c>
      <c r="I10" s="16">
        <f>IF(G10&lt;=$D$14,(L10-K10)*1/(1+$D$20),0)</f>
        <v>7176.4047735885833</v>
      </c>
      <c r="J10" s="16">
        <f>IF(G10&lt;=$D$14,I10*$D$20,0)</f>
        <v>1435.2809547177167</v>
      </c>
      <c r="K10" s="16">
        <f>IF(G10&lt;=$D$14,N8*$D$17,0)</f>
        <v>108143.3142716937</v>
      </c>
      <c r="L10" s="26">
        <f>IF(G10&lt;=$D$14,-$D$29,0)</f>
        <v>116755</v>
      </c>
      <c r="M10" s="26">
        <f>L10+AB10</f>
        <v>116999.41666666667</v>
      </c>
      <c r="N10" s="16">
        <f>IF(G10&lt;=$D$14,N8-I10-J10,0)</f>
        <v>2924388.3142716936</v>
      </c>
      <c r="O10" s="16"/>
      <c r="P10" s="16">
        <f>IF(G10&lt;=$D$14,-$E$29-Q10,0)</f>
        <v>10252.006819412243</v>
      </c>
      <c r="Q10" s="16">
        <f t="shared" ref="Q10:Q41" si="0">IF(G10&lt;=$D$14,R9*$D$17,0)</f>
        <v>128742.04079963536</v>
      </c>
      <c r="R10" s="16">
        <f>IF(G10&lt;=$D$14,R9-P10,0)</f>
        <v>3481414.6598472544</v>
      </c>
      <c r="S10" s="26">
        <f>IF(G10&lt;=$D$14,P10+Q10,0)</f>
        <v>138994.0476190476</v>
      </c>
      <c r="T10" s="16">
        <f>IF(G10&lt;=$D$14,IF($D$37="льготное",K10,N8*($D$24+3%)/12),0)</f>
        <v>7352.8680555555557</v>
      </c>
      <c r="U10" s="26">
        <f>L10-O8</f>
        <v>-581578.33333333337</v>
      </c>
      <c r="V10" s="26">
        <f>M10-O8</f>
        <v>-581333.91666666674</v>
      </c>
      <c r="W10" s="3">
        <f>IF($D$38="да",K10*$D$23,0)</f>
        <v>21628.662854338741</v>
      </c>
      <c r="X10" s="16">
        <f>IF(G10&lt;=$D$21,IF($D$38="да",($D$13)/$D$21*$D$23,0),0)</f>
        <v>11638.888888888891</v>
      </c>
      <c r="Y10" s="16">
        <f>IF(G10&lt;=$D$21,IF($D$38="да",AB10*$D$23,0),0)</f>
        <v>48.883333333333333</v>
      </c>
      <c r="Z10" s="26">
        <f>U10-W10-X10</f>
        <v>-614845.88507656101</v>
      </c>
      <c r="AA10" s="26">
        <f>V10-X10-Y10-W10</f>
        <v>-614650.35174322769</v>
      </c>
      <c r="AB10" s="16">
        <f>N8*D24</f>
        <v>244.41666666666666</v>
      </c>
    </row>
    <row r="11" spans="1:29" x14ac:dyDescent="0.25">
      <c r="A11" s="169" t="s">
        <v>0</v>
      </c>
      <c r="B11" s="169"/>
      <c r="C11" s="169"/>
      <c r="D11" s="4">
        <f>'Калькулятор лизинга'!K5</f>
        <v>4190000</v>
      </c>
      <c r="G11">
        <v>2</v>
      </c>
      <c r="H11" s="21">
        <v>43891</v>
      </c>
      <c r="I11" s="16">
        <f t="shared" ref="I11:I41" si="1">IF(G11&lt;=$D$14,(L11-K11)*1/(1+$D$20),0)</f>
        <v>7441.0076364495035</v>
      </c>
      <c r="J11" s="16">
        <f t="shared" ref="J11:J41" si="2">IF(G11&lt;=$D$14,I11*$D$20,0)</f>
        <v>1488.2015272899007</v>
      </c>
      <c r="K11" s="16">
        <f>IF(G11&lt;=$D$14,N10*$D$17,0)</f>
        <v>107825.7908362606</v>
      </c>
      <c r="L11" s="26">
        <f t="shared" ref="L11:L41" si="3">IF(G11&lt;=$D$14,-$D$29,0)</f>
        <v>116755</v>
      </c>
      <c r="M11" s="26">
        <f t="shared" ref="M11:M74" si="4">L11+AB11</f>
        <v>116998.69902618931</v>
      </c>
      <c r="N11" s="16">
        <f t="shared" ref="N11:N41" si="5">IF(G11&lt;=$D$14,N10-I11-J11,0)</f>
        <v>2915459.1051079542</v>
      </c>
      <c r="O11" s="16"/>
      <c r="P11" s="16">
        <f t="shared" ref="P11:P74" si="6">IF(G11&lt;=$D$14,-$E$29-Q11,0)</f>
        <v>10630.010909213554</v>
      </c>
      <c r="Q11" s="16">
        <f t="shared" si="0"/>
        <v>128364.03670983405</v>
      </c>
      <c r="R11" s="16">
        <f t="shared" ref="R11:R74" si="7">IF(G11&lt;=$D$14,R10-P11,0)</f>
        <v>3470784.6489380407</v>
      </c>
      <c r="S11" s="26">
        <f t="shared" ref="S11:S74" si="8">IF(G11&lt;=$D$14,P11+Q11,0)</f>
        <v>138994.0476190476</v>
      </c>
      <c r="T11" s="16">
        <f t="shared" ref="T11:T42" si="9">IF(G11&lt;=$D$14,IF($D$37="льготное",K11,N10*($D$24+3%)/12),0)</f>
        <v>7331.2790378616764</v>
      </c>
      <c r="U11" s="26">
        <f>L11</f>
        <v>116755</v>
      </c>
      <c r="V11" s="26">
        <f t="shared" ref="V11:V74" si="10">M11</f>
        <v>116998.69902618931</v>
      </c>
      <c r="W11" s="3">
        <f t="shared" ref="W11:W74" si="11">IF($D$38="да",K11*$D$23,0)</f>
        <v>21565.158167252121</v>
      </c>
      <c r="X11" s="16">
        <f t="shared" ref="X11:X74" si="12">IF(G11&lt;=$D$21,IF($D$38="да",($D$13)/$D$21*$D$23,0),0)</f>
        <v>11638.888888888891</v>
      </c>
      <c r="Y11" s="16">
        <f t="shared" ref="Y11:Y74" si="13">IF(G11&lt;=$D$21,IF($D$38="да",AB11*$D$23,0),0)</f>
        <v>48.73980523786156</v>
      </c>
      <c r="Z11" s="26">
        <f t="shared" ref="Z11:Z74" si="14">U11-W11-X11</f>
        <v>83550.952943858996</v>
      </c>
      <c r="AA11" s="26">
        <f t="shared" ref="AA11:AA74" si="15">V11-X11-Y11-W11</f>
        <v>83745.912164810434</v>
      </c>
      <c r="AB11" s="16">
        <f>IF(G11&lt;=$D$14,N10*$D$24,0)</f>
        <v>243.6990261893078</v>
      </c>
    </row>
    <row r="12" spans="1:29" x14ac:dyDescent="0.25">
      <c r="A12" s="165" t="s">
        <v>3</v>
      </c>
      <c r="B12" s="165"/>
      <c r="C12" s="165"/>
      <c r="D12" s="2">
        <f>D11*$D$20/(1+$D$20)</f>
        <v>698333.33333333337</v>
      </c>
      <c r="G12">
        <v>3</v>
      </c>
      <c r="H12" s="21">
        <v>43922</v>
      </c>
      <c r="I12" s="16">
        <f t="shared" si="1"/>
        <v>7715.3667320262566</v>
      </c>
      <c r="J12" s="16">
        <f t="shared" si="2"/>
        <v>1543.0733464052514</v>
      </c>
      <c r="K12" s="16">
        <f t="shared" ref="K12:K41" si="16">IF(G12&lt;=$D$14,N11*$D$17,0)</f>
        <v>107496.55992156849</v>
      </c>
      <c r="L12" s="26">
        <f t="shared" si="3"/>
        <v>116755</v>
      </c>
      <c r="M12" s="26">
        <f t="shared" si="4"/>
        <v>116997.95492542566</v>
      </c>
      <c r="N12" s="16">
        <f t="shared" si="5"/>
        <v>2906200.6650295225</v>
      </c>
      <c r="O12" s="16"/>
      <c r="P12" s="16">
        <f t="shared" si="6"/>
        <v>11021.952474323218</v>
      </c>
      <c r="Q12" s="16">
        <f t="shared" si="0"/>
        <v>127972.09514472439</v>
      </c>
      <c r="R12" s="16">
        <f t="shared" si="7"/>
        <v>3459762.6964637176</v>
      </c>
      <c r="S12" s="26">
        <f t="shared" si="8"/>
        <v>138994.0476190476</v>
      </c>
      <c r="T12" s="16">
        <f t="shared" si="9"/>
        <v>7308.8940065553579</v>
      </c>
      <c r="U12" s="26">
        <f t="shared" ref="U12:U74" si="17">L12</f>
        <v>116755</v>
      </c>
      <c r="V12" s="26">
        <f t="shared" si="10"/>
        <v>116997.95492542566</v>
      </c>
      <c r="W12" s="3">
        <f t="shared" si="11"/>
        <v>21499.311984313699</v>
      </c>
      <c r="X12" s="16">
        <f t="shared" si="12"/>
        <v>11638.888888888891</v>
      </c>
      <c r="Y12" s="16">
        <f t="shared" si="13"/>
        <v>48.590985085132573</v>
      </c>
      <c r="Z12" s="26">
        <f t="shared" si="14"/>
        <v>83616.799126797414</v>
      </c>
      <c r="AA12" s="26">
        <f t="shared" si="15"/>
        <v>83811.163067137939</v>
      </c>
      <c r="AB12" s="16">
        <f t="shared" ref="AB12:AB75" si="18">IF(G12&lt;=$D$14,N11*$D$24,0)</f>
        <v>242.95492542566285</v>
      </c>
    </row>
    <row r="13" spans="1:29" x14ac:dyDescent="0.25">
      <c r="A13" s="165" t="s">
        <v>6</v>
      </c>
      <c r="B13" s="165"/>
      <c r="C13" s="165"/>
      <c r="D13" s="2">
        <f>D11-D12</f>
        <v>3491666.6666666665</v>
      </c>
      <c r="G13">
        <v>4</v>
      </c>
      <c r="H13" s="21">
        <v>43952</v>
      </c>
      <c r="I13" s="16">
        <f t="shared" si="1"/>
        <v>7999.8417846082284</v>
      </c>
      <c r="J13" s="16">
        <f t="shared" si="2"/>
        <v>1599.9683569216459</v>
      </c>
      <c r="K13" s="16">
        <f t="shared" si="16"/>
        <v>107155.18985847013</v>
      </c>
      <c r="L13" s="26">
        <f t="shared" si="3"/>
        <v>116755</v>
      </c>
      <c r="M13" s="26">
        <f t="shared" si="4"/>
        <v>116997.18338875246</v>
      </c>
      <c r="N13" s="16">
        <f t="shared" si="5"/>
        <v>2896600.8548879926</v>
      </c>
      <c r="O13" s="16"/>
      <c r="P13" s="16">
        <f t="shared" si="6"/>
        <v>11428.345406583147</v>
      </c>
      <c r="Q13" s="16">
        <f t="shared" si="0"/>
        <v>127565.70221246446</v>
      </c>
      <c r="R13" s="16">
        <f t="shared" si="7"/>
        <v>3448334.3510571346</v>
      </c>
      <c r="S13" s="26">
        <f t="shared" si="8"/>
        <v>138994.0476190476</v>
      </c>
      <c r="T13" s="16">
        <f t="shared" si="9"/>
        <v>7285.6836116365112</v>
      </c>
      <c r="U13" s="26">
        <f t="shared" si="17"/>
        <v>116755</v>
      </c>
      <c r="V13" s="26">
        <f t="shared" si="10"/>
        <v>116997.18338875246</v>
      </c>
      <c r="W13" s="3">
        <f t="shared" si="11"/>
        <v>21431.037971694026</v>
      </c>
      <c r="X13" s="16">
        <f t="shared" si="12"/>
        <v>11638.888888888891</v>
      </c>
      <c r="Y13" s="16">
        <f t="shared" si="13"/>
        <v>48.436677750492038</v>
      </c>
      <c r="Z13" s="26">
        <f t="shared" si="14"/>
        <v>83685.073139417087</v>
      </c>
      <c r="AA13" s="26">
        <f t="shared" si="15"/>
        <v>83878.819850419051</v>
      </c>
      <c r="AB13" s="16">
        <f t="shared" si="18"/>
        <v>242.18338875246019</v>
      </c>
    </row>
    <row r="14" spans="1:29" x14ac:dyDescent="0.25">
      <c r="A14" s="169" t="s">
        <v>7</v>
      </c>
      <c r="B14" s="169"/>
      <c r="C14" s="169"/>
      <c r="D14" s="5">
        <f>'Калькулятор лизинга'!O16</f>
        <v>72</v>
      </c>
      <c r="G14">
        <v>5</v>
      </c>
      <c r="H14" s="21">
        <v>43983</v>
      </c>
      <c r="I14" s="16">
        <f t="shared" si="1"/>
        <v>8294.8057819613568</v>
      </c>
      <c r="J14" s="16">
        <f t="shared" si="2"/>
        <v>1658.9611563922715</v>
      </c>
      <c r="K14" s="16">
        <f t="shared" si="16"/>
        <v>106801.23306164637</v>
      </c>
      <c r="L14" s="26">
        <f t="shared" si="3"/>
        <v>116755</v>
      </c>
      <c r="M14" s="26">
        <f t="shared" si="4"/>
        <v>116996.38340457399</v>
      </c>
      <c r="N14" s="16">
        <f t="shared" si="5"/>
        <v>2886647.0879496387</v>
      </c>
      <c r="O14" s="16"/>
      <c r="P14" s="16">
        <f t="shared" si="6"/>
        <v>11849.722545659039</v>
      </c>
      <c r="Q14" s="16">
        <f t="shared" si="0"/>
        <v>127144.32507338857</v>
      </c>
      <c r="R14" s="16">
        <f t="shared" si="7"/>
        <v>3436484.6285114754</v>
      </c>
      <c r="S14" s="26">
        <f t="shared" si="8"/>
        <v>138994.0476190476</v>
      </c>
      <c r="T14" s="16">
        <f t="shared" si="9"/>
        <v>7261.6174209344817</v>
      </c>
      <c r="U14" s="26">
        <f t="shared" si="17"/>
        <v>116755</v>
      </c>
      <c r="V14" s="26">
        <f t="shared" si="10"/>
        <v>116996.38340457399</v>
      </c>
      <c r="W14" s="3">
        <f t="shared" si="11"/>
        <v>21360.246612329276</v>
      </c>
      <c r="X14" s="16">
        <f t="shared" si="12"/>
        <v>11638.888888888891</v>
      </c>
      <c r="Y14" s="16">
        <f t="shared" si="13"/>
        <v>48.276680914799876</v>
      </c>
      <c r="Z14" s="26">
        <f t="shared" si="14"/>
        <v>83755.864498781841</v>
      </c>
      <c r="AA14" s="26">
        <f t="shared" si="15"/>
        <v>83948.971222441032</v>
      </c>
      <c r="AB14" s="16">
        <f t="shared" si="18"/>
        <v>241.38340457399937</v>
      </c>
    </row>
    <row r="15" spans="1:29" x14ac:dyDescent="0.25">
      <c r="A15" s="171" t="s">
        <v>8</v>
      </c>
      <c r="B15" s="171"/>
      <c r="C15" s="171"/>
      <c r="D15" s="29">
        <f>D14/12</f>
        <v>6</v>
      </c>
      <c r="G15">
        <v>6</v>
      </c>
      <c r="H15" s="21">
        <v>44013</v>
      </c>
      <c r="I15" s="16">
        <f t="shared" si="1"/>
        <v>8600.6454643688994</v>
      </c>
      <c r="J15" s="16">
        <f t="shared" si="2"/>
        <v>1720.1290928737799</v>
      </c>
      <c r="K15" s="16">
        <f t="shared" si="16"/>
        <v>106434.22544275732</v>
      </c>
      <c r="L15" s="26">
        <f t="shared" si="3"/>
        <v>116755</v>
      </c>
      <c r="M15" s="26">
        <f t="shared" si="4"/>
        <v>116995.5539239958</v>
      </c>
      <c r="N15" s="16">
        <f t="shared" si="5"/>
        <v>2876326.3133923956</v>
      </c>
      <c r="O15" s="16"/>
      <c r="P15" s="16">
        <f t="shared" si="6"/>
        <v>12286.636377669813</v>
      </c>
      <c r="Q15" s="16">
        <f t="shared" si="0"/>
        <v>126707.41124137779</v>
      </c>
      <c r="R15" s="16">
        <f t="shared" si="7"/>
        <v>3424197.9921338055</v>
      </c>
      <c r="S15" s="26">
        <f t="shared" si="8"/>
        <v>138994.0476190476</v>
      </c>
      <c r="T15" s="16">
        <f t="shared" si="9"/>
        <v>7236.6638802070802</v>
      </c>
      <c r="U15" s="26">
        <f t="shared" si="17"/>
        <v>116755</v>
      </c>
      <c r="V15" s="26">
        <f t="shared" si="10"/>
        <v>116995.5539239958</v>
      </c>
      <c r="W15" s="3">
        <f t="shared" si="11"/>
        <v>21286.845088551465</v>
      </c>
      <c r="X15" s="16">
        <f t="shared" si="12"/>
        <v>11638.888888888891</v>
      </c>
      <c r="Y15" s="16">
        <f t="shared" si="13"/>
        <v>48.110784799160648</v>
      </c>
      <c r="Z15" s="26">
        <f t="shared" si="14"/>
        <v>83829.266022559648</v>
      </c>
      <c r="AA15" s="26">
        <f t="shared" si="15"/>
        <v>84021.709161756284</v>
      </c>
      <c r="AB15" s="16">
        <f t="shared" si="18"/>
        <v>240.55392399580322</v>
      </c>
    </row>
    <row r="16" spans="1:29" x14ac:dyDescent="0.25">
      <c r="A16" s="169" t="s">
        <v>12</v>
      </c>
      <c r="B16" s="169"/>
      <c r="C16" s="169"/>
      <c r="D16" s="11">
        <f>IF('Калькулятор лизинга'!M21=Лист2!G2,'Калькулятор лизинга'!O21/100,RATE('Кредит аннуитет'!D14,'Кредит аннуитет'!D29,'Кредит аннуитет'!N8)*12)</f>
        <v>0.44245474642356786</v>
      </c>
      <c r="E16" s="9"/>
      <c r="F16" s="10"/>
      <c r="G16">
        <v>7</v>
      </c>
      <c r="H16" s="21">
        <v>44044</v>
      </c>
      <c r="I16" s="16">
        <f t="shared" si="1"/>
        <v>8917.7618317036104</v>
      </c>
      <c r="J16" s="16">
        <f t="shared" si="2"/>
        <v>1783.5523663407221</v>
      </c>
      <c r="K16" s="16">
        <f t="shared" si="16"/>
        <v>106053.68580195567</v>
      </c>
      <c r="L16" s="26">
        <f t="shared" si="3"/>
        <v>116755</v>
      </c>
      <c r="M16" s="26">
        <f t="shared" si="4"/>
        <v>116994.69385944937</v>
      </c>
      <c r="N16" s="16">
        <f t="shared" si="5"/>
        <v>2865624.9991943515</v>
      </c>
      <c r="O16" s="16"/>
      <c r="P16" s="16">
        <f t="shared" si="6"/>
        <v>12739.65975957652</v>
      </c>
      <c r="Q16" s="16">
        <f t="shared" si="0"/>
        <v>126254.38785947108</v>
      </c>
      <c r="R16" s="16">
        <f t="shared" si="7"/>
        <v>3411458.3323742291</v>
      </c>
      <c r="S16" s="26">
        <f t="shared" si="8"/>
        <v>138994.0476190476</v>
      </c>
      <c r="T16" s="16">
        <f t="shared" si="9"/>
        <v>7210.7902717684365</v>
      </c>
      <c r="U16" s="26">
        <f t="shared" si="17"/>
        <v>116755</v>
      </c>
      <c r="V16" s="26">
        <f t="shared" si="10"/>
        <v>116994.69385944937</v>
      </c>
      <c r="W16" s="3">
        <f t="shared" si="11"/>
        <v>21210.737160391134</v>
      </c>
      <c r="X16" s="16">
        <f t="shared" si="12"/>
        <v>11638.888888888891</v>
      </c>
      <c r="Y16" s="16">
        <f t="shared" si="13"/>
        <v>47.938771889873266</v>
      </c>
      <c r="Z16" s="26">
        <f t="shared" si="14"/>
        <v>83905.373950719979</v>
      </c>
      <c r="AA16" s="26">
        <f t="shared" si="15"/>
        <v>84097.129038279469</v>
      </c>
      <c r="AB16" s="16">
        <f t="shared" si="18"/>
        <v>239.6938594493663</v>
      </c>
    </row>
    <row r="17" spans="1:28" x14ac:dyDescent="0.25">
      <c r="A17" s="165" t="s">
        <v>11</v>
      </c>
      <c r="B17" s="165"/>
      <c r="C17" s="165"/>
      <c r="D17" s="10">
        <f>D16/12</f>
        <v>3.6871228868630652E-2</v>
      </c>
      <c r="E17" s="10"/>
      <c r="F17" s="10"/>
      <c r="G17">
        <v>8</v>
      </c>
      <c r="H17" s="21">
        <v>44075</v>
      </c>
      <c r="I17" s="16">
        <f t="shared" si="1"/>
        <v>9246.5706691962878</v>
      </c>
      <c r="J17" s="16">
        <f t="shared" si="2"/>
        <v>1849.3141338392577</v>
      </c>
      <c r="K17" s="16">
        <f t="shared" si="16"/>
        <v>105659.11519696446</v>
      </c>
      <c r="L17" s="26">
        <f t="shared" si="3"/>
        <v>116755</v>
      </c>
      <c r="M17" s="26">
        <f t="shared" si="4"/>
        <v>116993.8020832662</v>
      </c>
      <c r="N17" s="16">
        <f t="shared" si="5"/>
        <v>2854529.1143913162</v>
      </c>
      <c r="O17" s="16"/>
      <c r="P17" s="16">
        <f t="shared" si="6"/>
        <v>13209.38667028035</v>
      </c>
      <c r="Q17" s="16">
        <f t="shared" si="0"/>
        <v>125784.66094876725</v>
      </c>
      <c r="R17" s="16">
        <f t="shared" si="7"/>
        <v>3398248.9457039488</v>
      </c>
      <c r="S17" s="26">
        <f t="shared" si="8"/>
        <v>138994.0476190476</v>
      </c>
      <c r="T17" s="16">
        <f t="shared" si="9"/>
        <v>7183.9626715913946</v>
      </c>
      <c r="U17" s="26">
        <f t="shared" si="17"/>
        <v>116755</v>
      </c>
      <c r="V17" s="26">
        <f t="shared" si="10"/>
        <v>116993.8020832662</v>
      </c>
      <c r="W17" s="3">
        <f t="shared" si="11"/>
        <v>21131.823039392893</v>
      </c>
      <c r="X17" s="16">
        <f t="shared" si="12"/>
        <v>11638.888888888891</v>
      </c>
      <c r="Y17" s="16">
        <f t="shared" si="13"/>
        <v>47.76041665323919</v>
      </c>
      <c r="Z17" s="26">
        <f t="shared" si="14"/>
        <v>83984.288071718212</v>
      </c>
      <c r="AA17" s="26">
        <f t="shared" si="15"/>
        <v>84175.329738331173</v>
      </c>
      <c r="AB17" s="16">
        <f t="shared" si="18"/>
        <v>238.80208326619595</v>
      </c>
    </row>
    <row r="18" spans="1:28" x14ac:dyDescent="0.25">
      <c r="A18" s="171" t="s">
        <v>68</v>
      </c>
      <c r="B18" s="171"/>
      <c r="C18" s="171"/>
      <c r="D18" s="37">
        <f>IF('Калькулятор лизинга'!M24=Лист2!N2,'Калькулятор лизинга'!O24/100,'Калькулятор лизинга'!O24/'Калькулятор лизинга'!K5)</f>
        <v>0.3</v>
      </c>
      <c r="G18">
        <v>9</v>
      </c>
      <c r="H18" s="21">
        <v>44105</v>
      </c>
      <c r="I18" s="16">
        <f t="shared" si="1"/>
        <v>9587.5030925901719</v>
      </c>
      <c r="J18" s="16">
        <f t="shared" si="2"/>
        <v>1917.5006185180346</v>
      </c>
      <c r="K18" s="16">
        <f t="shared" si="16"/>
        <v>105249.99628889179</v>
      </c>
      <c r="L18" s="26">
        <f t="shared" si="3"/>
        <v>116755</v>
      </c>
      <c r="M18" s="26">
        <f t="shared" si="4"/>
        <v>116992.87742619928</v>
      </c>
      <c r="N18" s="16">
        <f t="shared" si="5"/>
        <v>2843024.1106802081</v>
      </c>
      <c r="O18" s="16"/>
      <c r="P18" s="16">
        <f t="shared" si="6"/>
        <v>13696.43298941449</v>
      </c>
      <c r="Q18" s="16">
        <f t="shared" si="0"/>
        <v>125297.61462963311</v>
      </c>
      <c r="R18" s="16">
        <f t="shared" si="7"/>
        <v>3384552.5127145345</v>
      </c>
      <c r="S18" s="26">
        <f t="shared" si="8"/>
        <v>138994.0476190476</v>
      </c>
      <c r="T18" s="16">
        <f t="shared" si="9"/>
        <v>7156.1459048282304</v>
      </c>
      <c r="U18" s="26">
        <f t="shared" si="17"/>
        <v>116755</v>
      </c>
      <c r="V18" s="26">
        <f t="shared" si="10"/>
        <v>116992.87742619928</v>
      </c>
      <c r="W18" s="3">
        <f t="shared" si="11"/>
        <v>21049.99925777836</v>
      </c>
      <c r="X18" s="16">
        <f t="shared" si="12"/>
        <v>11638.888888888891</v>
      </c>
      <c r="Y18" s="16">
        <f t="shared" si="13"/>
        <v>47.575485239855269</v>
      </c>
      <c r="Z18" s="26">
        <f t="shared" si="14"/>
        <v>84066.111853332754</v>
      </c>
      <c r="AA18" s="26">
        <f t="shared" si="15"/>
        <v>84256.413794292181</v>
      </c>
      <c r="AB18" s="16">
        <f t="shared" si="18"/>
        <v>237.87742619927633</v>
      </c>
    </row>
    <row r="19" spans="1:28" x14ac:dyDescent="0.25">
      <c r="A19" s="165" t="s">
        <v>69</v>
      </c>
      <c r="B19" s="165"/>
      <c r="C19" s="165"/>
      <c r="D19" s="3">
        <f>IF('Калькулятор лизинга'!M24=Лист2!N3,'Калькулятор лизинга'!O24,'Калькулятор лизинга'!O24/100*'Калькулятор лизинга'!K5)</f>
        <v>1257000</v>
      </c>
      <c r="G19">
        <v>10</v>
      </c>
      <c r="H19" s="21">
        <v>44136</v>
      </c>
      <c r="I19" s="16">
        <f t="shared" si="1"/>
        <v>9941.0061133957679</v>
      </c>
      <c r="J19" s="16">
        <f t="shared" si="2"/>
        <v>1988.2012226791537</v>
      </c>
      <c r="K19" s="16">
        <f t="shared" si="16"/>
        <v>104825.79266392508</v>
      </c>
      <c r="L19" s="26">
        <f t="shared" si="3"/>
        <v>116755</v>
      </c>
      <c r="M19" s="26">
        <f t="shared" si="4"/>
        <v>116991.91867589002</v>
      </c>
      <c r="N19" s="16">
        <f t="shared" si="5"/>
        <v>2831094.9033441334</v>
      </c>
      <c r="O19" s="16"/>
      <c r="P19" s="16">
        <f t="shared" si="6"/>
        <v>14201.437304851046</v>
      </c>
      <c r="Q19" s="16">
        <f t="shared" si="0"/>
        <v>124792.61031419656</v>
      </c>
      <c r="R19" s="16">
        <f t="shared" si="7"/>
        <v>3370351.0754096834</v>
      </c>
      <c r="S19" s="26">
        <f t="shared" si="8"/>
        <v>138994.0476190476</v>
      </c>
      <c r="T19" s="16">
        <f t="shared" si="9"/>
        <v>7127.3034996913548</v>
      </c>
      <c r="U19" s="26">
        <f t="shared" si="17"/>
        <v>116755</v>
      </c>
      <c r="V19" s="26">
        <f t="shared" si="10"/>
        <v>116991.91867589002</v>
      </c>
      <c r="W19" s="3">
        <f t="shared" si="11"/>
        <v>20965.158532785019</v>
      </c>
      <c r="X19" s="16">
        <f t="shared" si="12"/>
        <v>11638.888888888891</v>
      </c>
      <c r="Y19" s="16">
        <f t="shared" si="13"/>
        <v>47.383735178003469</v>
      </c>
      <c r="Z19" s="26">
        <f t="shared" si="14"/>
        <v>84150.952578326091</v>
      </c>
      <c r="AA19" s="26">
        <f t="shared" si="15"/>
        <v>84340.487519038099</v>
      </c>
      <c r="AB19" s="16">
        <f t="shared" si="18"/>
        <v>236.91867589001734</v>
      </c>
    </row>
    <row r="20" spans="1:28" x14ac:dyDescent="0.25">
      <c r="A20" s="165" t="s">
        <v>18</v>
      </c>
      <c r="B20" s="165"/>
      <c r="C20" s="165"/>
      <c r="D20" s="36">
        <f>'Калькулятор лизинга'!K11/100</f>
        <v>0.2</v>
      </c>
      <c r="G20">
        <v>11</v>
      </c>
      <c r="H20" s="21">
        <v>44166</v>
      </c>
      <c r="I20" s="16">
        <f t="shared" si="1"/>
        <v>10307.543224987239</v>
      </c>
      <c r="J20" s="16">
        <f t="shared" si="2"/>
        <v>2061.5086449974478</v>
      </c>
      <c r="K20" s="16">
        <f t="shared" si="16"/>
        <v>104385.94813001531</v>
      </c>
      <c r="L20" s="26">
        <f t="shared" si="3"/>
        <v>116755</v>
      </c>
      <c r="M20" s="26">
        <f t="shared" si="4"/>
        <v>116990.92457527868</v>
      </c>
      <c r="N20" s="16">
        <f t="shared" si="5"/>
        <v>2818725.8514741487</v>
      </c>
      <c r="O20" s="16"/>
      <c r="P20" s="16">
        <f t="shared" si="6"/>
        <v>14725.061749981716</v>
      </c>
      <c r="Q20" s="16">
        <f t="shared" si="0"/>
        <v>124268.98586906589</v>
      </c>
      <c r="R20" s="16">
        <f t="shared" si="7"/>
        <v>3355626.0136597017</v>
      </c>
      <c r="S20" s="26">
        <f t="shared" si="8"/>
        <v>138994.0476190476</v>
      </c>
      <c r="T20" s="16">
        <f t="shared" si="9"/>
        <v>7097.3976396335565</v>
      </c>
      <c r="U20" s="26">
        <f t="shared" si="17"/>
        <v>116755</v>
      </c>
      <c r="V20" s="26">
        <f t="shared" si="10"/>
        <v>116990.92457527868</v>
      </c>
      <c r="W20" s="3">
        <f t="shared" si="11"/>
        <v>20877.189626003063</v>
      </c>
      <c r="X20" s="16">
        <f t="shared" si="12"/>
        <v>11638.888888888891</v>
      </c>
      <c r="Y20" s="16">
        <f t="shared" si="13"/>
        <v>47.184915055735559</v>
      </c>
      <c r="Z20" s="26">
        <f t="shared" si="14"/>
        <v>84238.921485108047</v>
      </c>
      <c r="AA20" s="26">
        <f t="shared" si="15"/>
        <v>84427.661145330989</v>
      </c>
      <c r="AB20" s="16">
        <f t="shared" si="18"/>
        <v>235.92457527867776</v>
      </c>
    </row>
    <row r="21" spans="1:28" x14ac:dyDescent="0.25">
      <c r="A21" s="169" t="s">
        <v>2</v>
      </c>
      <c r="B21" s="169"/>
      <c r="C21" s="169"/>
      <c r="D21" s="5">
        <f>'Калькулятор лизинга'!O27</f>
        <v>60</v>
      </c>
      <c r="G21">
        <v>12</v>
      </c>
      <c r="H21" s="21">
        <v>44197</v>
      </c>
      <c r="I21" s="16">
        <f t="shared" si="1"/>
        <v>10687.59501030904</v>
      </c>
      <c r="J21" s="16">
        <f t="shared" si="2"/>
        <v>2137.5190020618079</v>
      </c>
      <c r="K21" s="16">
        <f t="shared" si="16"/>
        <v>103929.88598762915</v>
      </c>
      <c r="L21" s="26">
        <f t="shared" si="3"/>
        <v>116755</v>
      </c>
      <c r="M21" s="26">
        <f t="shared" si="4"/>
        <v>116989.89382095617</v>
      </c>
      <c r="N21" s="16">
        <f t="shared" si="5"/>
        <v>2805900.7374617779</v>
      </c>
      <c r="O21" s="16"/>
      <c r="P21" s="16">
        <f t="shared" si="6"/>
        <v>15267.99287187001</v>
      </c>
      <c r="Q21" s="16">
        <f t="shared" si="0"/>
        <v>123726.05474717759</v>
      </c>
      <c r="R21" s="16">
        <f t="shared" si="7"/>
        <v>3340358.0207878319</v>
      </c>
      <c r="S21" s="26">
        <f t="shared" si="8"/>
        <v>138994.0476190476</v>
      </c>
      <c r="T21" s="16">
        <f t="shared" si="9"/>
        <v>7066.3891137650535</v>
      </c>
      <c r="U21" s="26">
        <f t="shared" si="17"/>
        <v>116755</v>
      </c>
      <c r="V21" s="26">
        <f t="shared" si="10"/>
        <v>116989.89382095617</v>
      </c>
      <c r="W21" s="3">
        <f t="shared" si="11"/>
        <v>20785.977197525834</v>
      </c>
      <c r="X21" s="16">
        <f t="shared" si="12"/>
        <v>11638.888888888891</v>
      </c>
      <c r="Y21" s="16">
        <f t="shared" si="13"/>
        <v>46.978764191235811</v>
      </c>
      <c r="Z21" s="26">
        <f t="shared" si="14"/>
        <v>84330.133913585276</v>
      </c>
      <c r="AA21" s="26">
        <f t="shared" si="15"/>
        <v>84518.04897035021</v>
      </c>
      <c r="AB21" s="16">
        <f t="shared" si="18"/>
        <v>234.89382095617904</v>
      </c>
    </row>
    <row r="22" spans="1:28" x14ac:dyDescent="0.25">
      <c r="A22" s="171" t="s">
        <v>19</v>
      </c>
      <c r="B22" s="171"/>
      <c r="C22" s="171"/>
      <c r="D22" s="29">
        <f>D21/12</f>
        <v>5</v>
      </c>
      <c r="G22">
        <v>13</v>
      </c>
      <c r="H22" s="21">
        <v>44228</v>
      </c>
      <c r="I22" s="16">
        <f t="shared" si="1"/>
        <v>11081.659771989387</v>
      </c>
      <c r="J22" s="16">
        <f t="shared" si="2"/>
        <v>2216.3319543978773</v>
      </c>
      <c r="K22" s="16">
        <f t="shared" si="16"/>
        <v>103457.00827361274</v>
      </c>
      <c r="L22" s="26">
        <f t="shared" si="3"/>
        <v>116755</v>
      </c>
      <c r="M22" s="26">
        <f t="shared" si="4"/>
        <v>116988.82506145515</v>
      </c>
      <c r="N22" s="16">
        <f t="shared" si="5"/>
        <v>2792602.7457353906</v>
      </c>
      <c r="O22" s="16"/>
      <c r="P22" s="16">
        <f t="shared" si="6"/>
        <v>15830.942531413355</v>
      </c>
      <c r="Q22" s="16">
        <f t="shared" si="0"/>
        <v>123163.10508763425</v>
      </c>
      <c r="R22" s="16">
        <f t="shared" si="7"/>
        <v>3324527.0782564185</v>
      </c>
      <c r="S22" s="26">
        <f t="shared" si="8"/>
        <v>138994.0476190476</v>
      </c>
      <c r="T22" s="16">
        <f t="shared" si="9"/>
        <v>7034.2372654423734</v>
      </c>
      <c r="U22" s="26">
        <f t="shared" si="17"/>
        <v>116755</v>
      </c>
      <c r="V22" s="26">
        <f t="shared" si="10"/>
        <v>116988.82506145515</v>
      </c>
      <c r="W22" s="3">
        <f t="shared" si="11"/>
        <v>20691.401654722547</v>
      </c>
      <c r="X22" s="16">
        <f t="shared" si="12"/>
        <v>11638.888888888891</v>
      </c>
      <c r="Y22" s="16">
        <f t="shared" si="13"/>
        <v>46.765012291029635</v>
      </c>
      <c r="Z22" s="26">
        <f t="shared" si="14"/>
        <v>84424.709456388562</v>
      </c>
      <c r="AA22" s="26">
        <f t="shared" si="15"/>
        <v>84611.769505552686</v>
      </c>
      <c r="AB22" s="16">
        <f t="shared" si="18"/>
        <v>233.82506145514816</v>
      </c>
    </row>
    <row r="23" spans="1:28" x14ac:dyDescent="0.25">
      <c r="A23" s="165" t="s">
        <v>28</v>
      </c>
      <c r="B23" s="165"/>
      <c r="C23" s="165"/>
      <c r="D23" s="18">
        <f>'Калькулятор лизинга'!K9/100</f>
        <v>0.2</v>
      </c>
      <c r="G23">
        <v>14</v>
      </c>
      <c r="H23" s="21">
        <v>44256</v>
      </c>
      <c r="I23" s="16">
        <f t="shared" si="1"/>
        <v>11490.254185686706</v>
      </c>
      <c r="J23" s="16">
        <f t="shared" si="2"/>
        <v>2298.0508371373412</v>
      </c>
      <c r="K23" s="16">
        <f t="shared" si="16"/>
        <v>102966.69497717595</v>
      </c>
      <c r="L23" s="26">
        <f t="shared" si="3"/>
        <v>116755</v>
      </c>
      <c r="M23" s="26">
        <f t="shared" si="4"/>
        <v>116987.71689547795</v>
      </c>
      <c r="N23" s="16">
        <f t="shared" si="5"/>
        <v>2778814.4407125665</v>
      </c>
      <c r="O23" s="16"/>
      <c r="P23" s="16">
        <f t="shared" si="6"/>
        <v>16414.648836695225</v>
      </c>
      <c r="Q23" s="16">
        <f t="shared" si="0"/>
        <v>122579.39878235238</v>
      </c>
      <c r="R23" s="16">
        <f t="shared" si="7"/>
        <v>3308112.4294197233</v>
      </c>
      <c r="S23" s="26">
        <f t="shared" si="8"/>
        <v>138994.0476190476</v>
      </c>
      <c r="T23" s="16">
        <f t="shared" si="9"/>
        <v>7000.8999389616392</v>
      </c>
      <c r="U23" s="26">
        <f t="shared" si="17"/>
        <v>116755</v>
      </c>
      <c r="V23" s="26">
        <f t="shared" si="10"/>
        <v>116987.71689547795</v>
      </c>
      <c r="W23" s="3">
        <f t="shared" si="11"/>
        <v>20593.338995435191</v>
      </c>
      <c r="X23" s="16">
        <f t="shared" si="12"/>
        <v>11638.888888888891</v>
      </c>
      <c r="Y23" s="16">
        <f t="shared" si="13"/>
        <v>46.543379095589842</v>
      </c>
      <c r="Z23" s="26">
        <f t="shared" si="14"/>
        <v>84522.772115675922</v>
      </c>
      <c r="AA23" s="26">
        <f t="shared" si="15"/>
        <v>84708.945632058283</v>
      </c>
      <c r="AB23" s="16">
        <f t="shared" si="18"/>
        <v>232.71689547794921</v>
      </c>
    </row>
    <row r="24" spans="1:28" x14ac:dyDescent="0.25">
      <c r="A24" s="165" t="s">
        <v>130</v>
      </c>
      <c r="B24" s="165"/>
      <c r="C24" s="165"/>
      <c r="D24" s="19">
        <f>'Калькулятор лизинга'!O30/100/12</f>
        <v>8.3333333333333331E-5</v>
      </c>
      <c r="G24">
        <v>15</v>
      </c>
      <c r="H24" s="21">
        <v>44287</v>
      </c>
      <c r="I24" s="16">
        <f t="shared" si="1"/>
        <v>11913.913977525894</v>
      </c>
      <c r="J24" s="16">
        <f t="shared" si="2"/>
        <v>2382.7827955051789</v>
      </c>
      <c r="K24" s="16">
        <f t="shared" si="16"/>
        <v>102458.30322696893</v>
      </c>
      <c r="L24" s="26">
        <f t="shared" si="3"/>
        <v>116755</v>
      </c>
      <c r="M24" s="26">
        <f t="shared" si="4"/>
        <v>116986.56787005939</v>
      </c>
      <c r="N24" s="16">
        <f t="shared" si="5"/>
        <v>2764517.7439395357</v>
      </c>
      <c r="O24" s="16"/>
      <c r="P24" s="16">
        <f t="shared" si="6"/>
        <v>17019.877110751215</v>
      </c>
      <c r="Q24" s="16">
        <f t="shared" si="0"/>
        <v>121974.17050829639</v>
      </c>
      <c r="R24" s="16">
        <f t="shared" si="7"/>
        <v>3291092.552308972</v>
      </c>
      <c r="S24" s="26">
        <f t="shared" si="8"/>
        <v>138994.0476190476</v>
      </c>
      <c r="T24" s="16">
        <f t="shared" si="9"/>
        <v>6966.3334242863648</v>
      </c>
      <c r="U24" s="26">
        <f t="shared" si="17"/>
        <v>116755</v>
      </c>
      <c r="V24" s="26">
        <f t="shared" si="10"/>
        <v>116986.56787005939</v>
      </c>
      <c r="W24" s="3">
        <f t="shared" si="11"/>
        <v>20491.660645393786</v>
      </c>
      <c r="X24" s="16">
        <f t="shared" si="12"/>
        <v>11638.888888888891</v>
      </c>
      <c r="Y24" s="16">
        <f t="shared" si="13"/>
        <v>46.313574011876113</v>
      </c>
      <c r="Z24" s="26">
        <f t="shared" si="14"/>
        <v>84624.450465717324</v>
      </c>
      <c r="AA24" s="26">
        <f t="shared" si="15"/>
        <v>84809.704761764835</v>
      </c>
      <c r="AB24" s="16">
        <f t="shared" si="18"/>
        <v>231.56787005938054</v>
      </c>
    </row>
    <row r="25" spans="1:28" x14ac:dyDescent="0.25">
      <c r="G25">
        <v>16</v>
      </c>
      <c r="H25" s="21">
        <v>44317</v>
      </c>
      <c r="I25" s="16">
        <f t="shared" si="1"/>
        <v>12353.194626512426</v>
      </c>
      <c r="J25" s="16">
        <f t="shared" si="2"/>
        <v>2470.6389253024854</v>
      </c>
      <c r="K25" s="16">
        <f t="shared" si="16"/>
        <v>101931.16644818509</v>
      </c>
      <c r="L25" s="26">
        <f t="shared" si="3"/>
        <v>116755</v>
      </c>
      <c r="M25" s="26">
        <f t="shared" si="4"/>
        <v>116985.37647866162</v>
      </c>
      <c r="N25" s="16">
        <f t="shared" si="5"/>
        <v>2749693.9103877209</v>
      </c>
      <c r="O25" s="16"/>
      <c r="P25" s="16">
        <f t="shared" si="6"/>
        <v>17647.420895017698</v>
      </c>
      <c r="Q25" s="16">
        <f t="shared" si="0"/>
        <v>121346.62672402991</v>
      </c>
      <c r="R25" s="16">
        <f t="shared" si="7"/>
        <v>3273445.1314139543</v>
      </c>
      <c r="S25" s="26">
        <f t="shared" si="8"/>
        <v>138994.0476190476</v>
      </c>
      <c r="T25" s="16">
        <f t="shared" si="9"/>
        <v>6930.492399737308</v>
      </c>
      <c r="U25" s="26">
        <f t="shared" si="17"/>
        <v>116755</v>
      </c>
      <c r="V25" s="26">
        <f t="shared" si="10"/>
        <v>116985.37647866162</v>
      </c>
      <c r="W25" s="3">
        <f t="shared" si="11"/>
        <v>20386.233289637021</v>
      </c>
      <c r="X25" s="16">
        <f t="shared" si="12"/>
        <v>11638.888888888891</v>
      </c>
      <c r="Y25" s="16">
        <f t="shared" si="13"/>
        <v>46.0752957323256</v>
      </c>
      <c r="Z25" s="26">
        <f t="shared" si="14"/>
        <v>84729.877821474089</v>
      </c>
      <c r="AA25" s="26">
        <f t="shared" si="15"/>
        <v>84914.179004403384</v>
      </c>
      <c r="AB25" s="16">
        <f t="shared" si="18"/>
        <v>230.37647866162797</v>
      </c>
    </row>
    <row r="26" spans="1:28" x14ac:dyDescent="0.25">
      <c r="A26" s="165"/>
      <c r="B26" s="165"/>
      <c r="C26" s="165"/>
      <c r="G26">
        <v>17</v>
      </c>
      <c r="H26" s="21">
        <v>44348</v>
      </c>
      <c r="I26" s="16">
        <f t="shared" si="1"/>
        <v>12808.6720928453</v>
      </c>
      <c r="J26" s="16">
        <f t="shared" si="2"/>
        <v>2561.7344185690599</v>
      </c>
      <c r="K26" s="16">
        <f t="shared" si="16"/>
        <v>101384.59348858564</v>
      </c>
      <c r="L26" s="26">
        <f t="shared" si="3"/>
        <v>116755</v>
      </c>
      <c r="M26" s="26">
        <f t="shared" si="4"/>
        <v>116984.14115919897</v>
      </c>
      <c r="N26" s="16">
        <f t="shared" si="5"/>
        <v>2734323.5038763066</v>
      </c>
      <c r="O26" s="16"/>
      <c r="P26" s="16">
        <f t="shared" si="6"/>
        <v>18298.102989778956</v>
      </c>
      <c r="Q26" s="16">
        <f t="shared" si="0"/>
        <v>120695.94462926865</v>
      </c>
      <c r="R26" s="16">
        <f t="shared" si="7"/>
        <v>3255147.0284241755</v>
      </c>
      <c r="S26" s="26">
        <f t="shared" si="8"/>
        <v>138994.0476190476</v>
      </c>
      <c r="T26" s="16">
        <f t="shared" si="9"/>
        <v>6893.3298725692175</v>
      </c>
      <c r="U26" s="26">
        <f t="shared" si="17"/>
        <v>116755</v>
      </c>
      <c r="V26" s="26">
        <f t="shared" si="10"/>
        <v>116984.14115919897</v>
      </c>
      <c r="W26" s="3">
        <f t="shared" si="11"/>
        <v>20276.91869771713</v>
      </c>
      <c r="X26" s="16">
        <f t="shared" si="12"/>
        <v>11638.888888888891</v>
      </c>
      <c r="Y26" s="16">
        <f t="shared" si="13"/>
        <v>45.82823183979535</v>
      </c>
      <c r="Z26" s="26">
        <f t="shared" si="14"/>
        <v>84839.192413393976</v>
      </c>
      <c r="AA26" s="26">
        <f t="shared" si="15"/>
        <v>85022.505340753152</v>
      </c>
      <c r="AB26" s="16">
        <f t="shared" si="18"/>
        <v>229.14115919897674</v>
      </c>
    </row>
    <row r="27" spans="1:28" x14ac:dyDescent="0.25">
      <c r="G27">
        <v>18</v>
      </c>
      <c r="H27" s="21">
        <v>44378</v>
      </c>
      <c r="I27" s="16">
        <f t="shared" si="1"/>
        <v>13280.943573083836</v>
      </c>
      <c r="J27" s="16">
        <f t="shared" si="2"/>
        <v>2656.1887146167674</v>
      </c>
      <c r="K27" s="16">
        <f t="shared" si="16"/>
        <v>100817.8677122994</v>
      </c>
      <c r="L27" s="26">
        <f t="shared" si="3"/>
        <v>116755</v>
      </c>
      <c r="M27" s="26">
        <f t="shared" si="4"/>
        <v>116982.86029198969</v>
      </c>
      <c r="N27" s="16">
        <f t="shared" si="5"/>
        <v>2718386.3715886059</v>
      </c>
      <c r="O27" s="16"/>
      <c r="P27" s="16">
        <f t="shared" si="6"/>
        <v>18972.776532976859</v>
      </c>
      <c r="Q27" s="16">
        <f t="shared" si="0"/>
        <v>120021.27108607074</v>
      </c>
      <c r="R27" s="16">
        <f t="shared" si="7"/>
        <v>3236174.2518911986</v>
      </c>
      <c r="S27" s="26">
        <f t="shared" si="8"/>
        <v>138994.0476190476</v>
      </c>
      <c r="T27" s="16">
        <f t="shared" si="9"/>
        <v>6854.7971173565747</v>
      </c>
      <c r="U27" s="26">
        <f t="shared" si="17"/>
        <v>116755</v>
      </c>
      <c r="V27" s="26">
        <f t="shared" si="10"/>
        <v>116982.86029198969</v>
      </c>
      <c r="W27" s="3">
        <f t="shared" si="11"/>
        <v>20163.573542459882</v>
      </c>
      <c r="X27" s="16">
        <f t="shared" si="12"/>
        <v>11638.888888888891</v>
      </c>
      <c r="Y27" s="16">
        <f t="shared" si="13"/>
        <v>45.572058397938441</v>
      </c>
      <c r="Z27" s="26">
        <f t="shared" si="14"/>
        <v>84952.537568651227</v>
      </c>
      <c r="AA27" s="26">
        <f t="shared" si="15"/>
        <v>85134.82580224298</v>
      </c>
      <c r="AB27" s="16">
        <f t="shared" si="18"/>
        <v>227.8602919896922</v>
      </c>
    </row>
    <row r="28" spans="1:28" x14ac:dyDescent="0.25">
      <c r="A28" s="170" t="s">
        <v>27</v>
      </c>
      <c r="B28" s="170"/>
      <c r="C28" s="170"/>
      <c r="D28" s="17">
        <f>L4</f>
        <v>9663360</v>
      </c>
      <c r="G28">
        <v>19</v>
      </c>
      <c r="H28" s="21">
        <v>44409</v>
      </c>
      <c r="I28" s="16">
        <f t="shared" si="1"/>
        <v>13770.628283158379</v>
      </c>
      <c r="J28" s="16">
        <f t="shared" si="2"/>
        <v>2754.1256566316761</v>
      </c>
      <c r="K28" s="16">
        <f t="shared" si="16"/>
        <v>100230.24606020995</v>
      </c>
      <c r="L28" s="26">
        <f t="shared" si="3"/>
        <v>116755</v>
      </c>
      <c r="M28" s="26">
        <f t="shared" si="4"/>
        <v>116981.53219763239</v>
      </c>
      <c r="N28" s="16">
        <f t="shared" si="5"/>
        <v>2701861.6176488157</v>
      </c>
      <c r="O28" s="16"/>
      <c r="P28" s="16">
        <f t="shared" si="6"/>
        <v>19672.326118797631</v>
      </c>
      <c r="Q28" s="16">
        <f t="shared" si="0"/>
        <v>119321.72150024997</v>
      </c>
      <c r="R28" s="16">
        <f t="shared" si="7"/>
        <v>3216501.925772401</v>
      </c>
      <c r="S28" s="26">
        <f t="shared" si="8"/>
        <v>138994.0476190476</v>
      </c>
      <c r="T28" s="16">
        <f t="shared" si="9"/>
        <v>6814.8436121075465</v>
      </c>
      <c r="U28" s="26">
        <f t="shared" si="17"/>
        <v>116755</v>
      </c>
      <c r="V28" s="26">
        <f t="shared" si="10"/>
        <v>116981.53219763239</v>
      </c>
      <c r="W28" s="3">
        <f t="shared" si="11"/>
        <v>20046.049212041991</v>
      </c>
      <c r="X28" s="16">
        <f t="shared" si="12"/>
        <v>11638.888888888891</v>
      </c>
      <c r="Y28" s="16">
        <f t="shared" si="13"/>
        <v>45.306439526476765</v>
      </c>
      <c r="Z28" s="26">
        <f t="shared" si="14"/>
        <v>85070.061899069115</v>
      </c>
      <c r="AA28" s="26">
        <f t="shared" si="15"/>
        <v>85251.287657175024</v>
      </c>
      <c r="AB28" s="16">
        <f t="shared" si="18"/>
        <v>226.53219763238383</v>
      </c>
    </row>
    <row r="29" spans="1:28" x14ac:dyDescent="0.25">
      <c r="A29" s="165" t="s">
        <v>32</v>
      </c>
      <c r="B29" s="165"/>
      <c r="C29" s="165"/>
      <c r="D29" s="13">
        <f>IF('Калькулятор лизинга'!M21=Лист2!G3,-'Калькулятор лизинга'!O21,PMT('Кредит аннуитет'!D17,'Кредит аннуитет'!D14,'Кредит аннуитет'!N8))</f>
        <v>-116755</v>
      </c>
      <c r="E29" s="13">
        <f>PMT($D$17,$D$14,$R$9)</f>
        <v>-138994.0476190476</v>
      </c>
      <c r="G29">
        <v>20</v>
      </c>
      <c r="H29" s="21">
        <v>44440</v>
      </c>
      <c r="I29" s="16">
        <f t="shared" si="1"/>
        <v>14278.368270251558</v>
      </c>
      <c r="J29" s="16">
        <f t="shared" si="2"/>
        <v>2855.6736540503116</v>
      </c>
      <c r="K29" s="16">
        <f t="shared" si="16"/>
        <v>99620.95807569813</v>
      </c>
      <c r="L29" s="26">
        <f t="shared" si="3"/>
        <v>116755</v>
      </c>
      <c r="M29" s="26">
        <f t="shared" si="4"/>
        <v>116980.15513480407</v>
      </c>
      <c r="N29" s="16">
        <f t="shared" si="5"/>
        <v>2684727.5757245142</v>
      </c>
      <c r="O29" s="16"/>
      <c r="P29" s="16">
        <f t="shared" si="6"/>
        <v>20397.668957502159</v>
      </c>
      <c r="Q29" s="16">
        <f t="shared" si="0"/>
        <v>118596.37866154544</v>
      </c>
      <c r="R29" s="16">
        <f t="shared" si="7"/>
        <v>3196104.2568148989</v>
      </c>
      <c r="S29" s="26">
        <f t="shared" si="8"/>
        <v>138994.0476190476</v>
      </c>
      <c r="T29" s="16">
        <f t="shared" si="9"/>
        <v>6773.416972022379</v>
      </c>
      <c r="U29" s="26">
        <f t="shared" si="17"/>
        <v>116755</v>
      </c>
      <c r="V29" s="26">
        <f t="shared" si="10"/>
        <v>116980.15513480407</v>
      </c>
      <c r="W29" s="3">
        <f t="shared" si="11"/>
        <v>19924.191615139629</v>
      </c>
      <c r="X29" s="16">
        <f t="shared" si="12"/>
        <v>11638.888888888891</v>
      </c>
      <c r="Y29" s="16">
        <f t="shared" si="13"/>
        <v>45.031026960813598</v>
      </c>
      <c r="Z29" s="26">
        <f t="shared" si="14"/>
        <v>85191.919495971481</v>
      </c>
      <c r="AA29" s="26">
        <f t="shared" si="15"/>
        <v>85372.043603814731</v>
      </c>
      <c r="AB29" s="16">
        <f t="shared" si="18"/>
        <v>225.15513480406798</v>
      </c>
    </row>
    <row r="30" spans="1:28" x14ac:dyDescent="0.25">
      <c r="D30" s="13">
        <f>IF('Калькулятор лизинга'!M21=Лист2!G3,'Калькулятор лизинга'!O21,PMT('Кредит аннуитет'!D17,'Кредит аннуитет'!D14,'Кредит аннуитет'!N8))</f>
        <v>116755</v>
      </c>
      <c r="F30" s="13"/>
      <c r="G30">
        <v>21</v>
      </c>
      <c r="H30" s="21">
        <v>44470</v>
      </c>
      <c r="I30" s="16">
        <f t="shared" si="1"/>
        <v>14804.829254614586</v>
      </c>
      <c r="J30" s="16">
        <f t="shared" si="2"/>
        <v>2960.9658509229175</v>
      </c>
      <c r="K30" s="16">
        <f t="shared" si="16"/>
        <v>98989.204894462498</v>
      </c>
      <c r="L30" s="26">
        <f t="shared" si="3"/>
        <v>116755</v>
      </c>
      <c r="M30" s="26">
        <f t="shared" si="4"/>
        <v>116978.72729797705</v>
      </c>
      <c r="N30" s="16">
        <f t="shared" si="5"/>
        <v>2666961.7806189768</v>
      </c>
      <c r="O30" s="16"/>
      <c r="P30" s="16">
        <f t="shared" si="6"/>
        <v>21149.756078020786</v>
      </c>
      <c r="Q30" s="16">
        <f t="shared" si="0"/>
        <v>117844.29154102682</v>
      </c>
      <c r="R30" s="16">
        <f t="shared" si="7"/>
        <v>3174954.5007368783</v>
      </c>
      <c r="S30" s="26">
        <f t="shared" si="8"/>
        <v>138994.0476190476</v>
      </c>
      <c r="T30" s="16">
        <f t="shared" si="9"/>
        <v>6730.462880809373</v>
      </c>
      <c r="U30" s="26">
        <f t="shared" si="17"/>
        <v>116755</v>
      </c>
      <c r="V30" s="26">
        <f t="shared" si="10"/>
        <v>116978.72729797705</v>
      </c>
      <c r="W30" s="3">
        <f t="shared" si="11"/>
        <v>19797.840978892502</v>
      </c>
      <c r="X30" s="16">
        <f t="shared" si="12"/>
        <v>11638.888888888891</v>
      </c>
      <c r="Y30" s="16">
        <f t="shared" si="13"/>
        <v>44.745459595408569</v>
      </c>
      <c r="Z30" s="26">
        <f t="shared" si="14"/>
        <v>85318.270132218604</v>
      </c>
      <c r="AA30" s="26">
        <f t="shared" si="15"/>
        <v>85497.251970600249</v>
      </c>
      <c r="AB30" s="16">
        <f t="shared" si="18"/>
        <v>223.72729797704284</v>
      </c>
    </row>
    <row r="31" spans="1:28" x14ac:dyDescent="0.25">
      <c r="A31" s="166" t="s">
        <v>21</v>
      </c>
      <c r="B31" s="166"/>
      <c r="C31" s="166"/>
      <c r="D31" s="14">
        <f>(L4-D11)/D11</f>
        <v>1.3062911694510739</v>
      </c>
      <c r="G31">
        <v>22</v>
      </c>
      <c r="H31" s="21">
        <v>44501</v>
      </c>
      <c r="I31" s="16">
        <f t="shared" si="1"/>
        <v>15350.701502422478</v>
      </c>
      <c r="J31" s="16">
        <f t="shared" si="2"/>
        <v>3070.140300484496</v>
      </c>
      <c r="K31" s="16">
        <f t="shared" si="16"/>
        <v>98334.158197093027</v>
      </c>
      <c r="L31" s="26">
        <f t="shared" si="3"/>
        <v>116755</v>
      </c>
      <c r="M31" s="26">
        <f t="shared" si="4"/>
        <v>116977.24681505158</v>
      </c>
      <c r="N31" s="16">
        <f t="shared" si="5"/>
        <v>2648540.9388160701</v>
      </c>
      <c r="O31" s="16"/>
      <c r="P31" s="16">
        <f t="shared" si="6"/>
        <v>21929.573574889204</v>
      </c>
      <c r="Q31" s="16">
        <f t="shared" si="0"/>
        <v>117064.4740441584</v>
      </c>
      <c r="R31" s="16">
        <f t="shared" si="7"/>
        <v>3153024.9271619893</v>
      </c>
      <c r="S31" s="26">
        <f t="shared" si="8"/>
        <v>138994.0476190476</v>
      </c>
      <c r="T31" s="16">
        <f t="shared" si="9"/>
        <v>6685.9250194684073</v>
      </c>
      <c r="U31" s="26">
        <f t="shared" si="17"/>
        <v>116755</v>
      </c>
      <c r="V31" s="26">
        <f t="shared" si="10"/>
        <v>116977.24681505158</v>
      </c>
      <c r="W31" s="3">
        <f t="shared" si="11"/>
        <v>19666.831639418608</v>
      </c>
      <c r="X31" s="16">
        <f t="shared" si="12"/>
        <v>11638.888888888891</v>
      </c>
      <c r="Y31" s="16">
        <f t="shared" si="13"/>
        <v>44.449363010316283</v>
      </c>
      <c r="Z31" s="26">
        <f t="shared" si="14"/>
        <v>85449.279471692498</v>
      </c>
      <c r="AA31" s="26">
        <f t="shared" si="15"/>
        <v>85627.076923733766</v>
      </c>
      <c r="AB31" s="16">
        <f t="shared" si="18"/>
        <v>222.24681505158139</v>
      </c>
    </row>
    <row r="32" spans="1:28" x14ac:dyDescent="0.25">
      <c r="A32" s="166" t="s">
        <v>22</v>
      </c>
      <c r="B32" s="166"/>
      <c r="C32" s="166"/>
      <c r="D32" s="14">
        <f>D31/D15</f>
        <v>0.21771519490851232</v>
      </c>
      <c r="G32">
        <v>23</v>
      </c>
      <c r="H32" s="21">
        <v>44531</v>
      </c>
      <c r="I32" s="16">
        <f t="shared" si="1"/>
        <v>15916.700730812325</v>
      </c>
      <c r="J32" s="16">
        <f t="shared" si="2"/>
        <v>3183.3401461624653</v>
      </c>
      <c r="K32" s="16">
        <f t="shared" si="16"/>
        <v>97654.959123025212</v>
      </c>
      <c r="L32" s="26">
        <f t="shared" si="3"/>
        <v>116755</v>
      </c>
      <c r="M32" s="26">
        <f t="shared" si="4"/>
        <v>116975.71174490135</v>
      </c>
      <c r="N32" s="16">
        <f t="shared" si="5"/>
        <v>2629440.8979390953</v>
      </c>
      <c r="O32" s="16"/>
      <c r="P32" s="16">
        <f t="shared" si="6"/>
        <v>22738.143901160409</v>
      </c>
      <c r="Q32" s="16">
        <f t="shared" si="0"/>
        <v>116255.90371788719</v>
      </c>
      <c r="R32" s="16">
        <f t="shared" si="7"/>
        <v>3130286.7832608288</v>
      </c>
      <c r="S32" s="26">
        <f t="shared" si="8"/>
        <v>138994.0476190476</v>
      </c>
      <c r="T32" s="16">
        <f t="shared" si="9"/>
        <v>6639.74499244862</v>
      </c>
      <c r="U32" s="26">
        <f t="shared" si="17"/>
        <v>116755</v>
      </c>
      <c r="V32" s="26">
        <f t="shared" si="10"/>
        <v>116975.71174490135</v>
      </c>
      <c r="W32" s="3">
        <f t="shared" si="11"/>
        <v>19530.991824605044</v>
      </c>
      <c r="X32" s="16">
        <f t="shared" si="12"/>
        <v>11638.888888888891</v>
      </c>
      <c r="Y32" s="16">
        <f t="shared" si="13"/>
        <v>44.142348980267833</v>
      </c>
      <c r="Z32" s="26">
        <f t="shared" si="14"/>
        <v>85585.119286506073</v>
      </c>
      <c r="AA32" s="26">
        <f t="shared" si="15"/>
        <v>85761.688682427135</v>
      </c>
      <c r="AB32" s="16">
        <f t="shared" si="18"/>
        <v>220.71174490133916</v>
      </c>
    </row>
    <row r="33" spans="1:28" x14ac:dyDescent="0.25">
      <c r="D33" s="10">
        <f>D32*1.45/(1-D18)</f>
        <v>0.45098147516763271</v>
      </c>
      <c r="E33" s="3"/>
      <c r="G33">
        <v>24</v>
      </c>
      <c r="H33" s="21">
        <v>44562</v>
      </c>
      <c r="I33" s="16">
        <f t="shared" si="1"/>
        <v>16503.56904629161</v>
      </c>
      <c r="J33" s="16">
        <f t="shared" si="2"/>
        <v>3300.7138092583223</v>
      </c>
      <c r="K33" s="16">
        <f t="shared" si="16"/>
        <v>96950.717144450071</v>
      </c>
      <c r="L33" s="26">
        <f t="shared" si="3"/>
        <v>116755</v>
      </c>
      <c r="M33" s="26">
        <f t="shared" si="4"/>
        <v>116974.12007482826</v>
      </c>
      <c r="N33" s="16">
        <f t="shared" si="5"/>
        <v>2609636.6150835454</v>
      </c>
      <c r="O33" s="16"/>
      <c r="P33" s="16">
        <f t="shared" si="6"/>
        <v>23576.527208987944</v>
      </c>
      <c r="Q33" s="16">
        <f t="shared" si="0"/>
        <v>115417.52041005966</v>
      </c>
      <c r="R33" s="16">
        <f t="shared" si="7"/>
        <v>3106710.2560518407</v>
      </c>
      <c r="S33" s="26">
        <f t="shared" si="8"/>
        <v>138994.0476190476</v>
      </c>
      <c r="T33" s="16">
        <f t="shared" si="9"/>
        <v>6591.8622510834257</v>
      </c>
      <c r="U33" s="26">
        <f t="shared" si="17"/>
        <v>116755</v>
      </c>
      <c r="V33" s="26">
        <f t="shared" si="10"/>
        <v>116974.12007482826</v>
      </c>
      <c r="W33" s="3">
        <f t="shared" si="11"/>
        <v>19390.143428890016</v>
      </c>
      <c r="X33" s="16">
        <f t="shared" si="12"/>
        <v>11638.888888888891</v>
      </c>
      <c r="Y33" s="16">
        <f t="shared" si="13"/>
        <v>43.824014965651592</v>
      </c>
      <c r="Z33" s="26">
        <f t="shared" si="14"/>
        <v>85725.967682221089</v>
      </c>
      <c r="AA33" s="26">
        <f t="shared" si="15"/>
        <v>85901.263742083698</v>
      </c>
      <c r="AB33" s="16">
        <f t="shared" si="18"/>
        <v>219.12007482825794</v>
      </c>
    </row>
    <row r="34" spans="1:28" x14ac:dyDescent="0.25">
      <c r="D34" s="9"/>
      <c r="G34">
        <v>25</v>
      </c>
      <c r="H34" s="21">
        <v>44593</v>
      </c>
      <c r="I34" s="16">
        <f t="shared" si="1"/>
        <v>17112.075917746675</v>
      </c>
      <c r="J34" s="16">
        <f t="shared" si="2"/>
        <v>3422.4151835493353</v>
      </c>
      <c r="K34" s="16">
        <f t="shared" si="16"/>
        <v>96220.508898703993</v>
      </c>
      <c r="L34" s="26">
        <f t="shared" si="3"/>
        <v>116755</v>
      </c>
      <c r="M34" s="26">
        <f t="shared" si="4"/>
        <v>116972.46971792362</v>
      </c>
      <c r="N34" s="16">
        <f t="shared" si="5"/>
        <v>2589102.1239822493</v>
      </c>
      <c r="O34" s="16"/>
      <c r="P34" s="16">
        <f t="shared" si="6"/>
        <v>24445.822739638053</v>
      </c>
      <c r="Q34" s="16">
        <f t="shared" si="0"/>
        <v>114548.22487940955</v>
      </c>
      <c r="R34" s="16">
        <f t="shared" si="7"/>
        <v>3082264.4333122028</v>
      </c>
      <c r="S34" s="26">
        <f t="shared" si="8"/>
        <v>138994.0476190476</v>
      </c>
      <c r="T34" s="16">
        <f t="shared" si="9"/>
        <v>6542.2140142024991</v>
      </c>
      <c r="U34" s="26">
        <f t="shared" si="17"/>
        <v>116755</v>
      </c>
      <c r="V34" s="26">
        <f t="shared" si="10"/>
        <v>116972.46971792362</v>
      </c>
      <c r="W34" s="3">
        <f t="shared" si="11"/>
        <v>19244.101779740799</v>
      </c>
      <c r="X34" s="16">
        <f t="shared" si="12"/>
        <v>11638.888888888891</v>
      </c>
      <c r="Y34" s="16">
        <f t="shared" si="13"/>
        <v>43.493943584725763</v>
      </c>
      <c r="Z34" s="26">
        <f t="shared" si="14"/>
        <v>85872.009331370311</v>
      </c>
      <c r="AA34" s="26">
        <f t="shared" si="15"/>
        <v>86045.985105709216</v>
      </c>
      <c r="AB34" s="16">
        <f t="shared" si="18"/>
        <v>217.46971792362879</v>
      </c>
    </row>
    <row r="35" spans="1:28" x14ac:dyDescent="0.25">
      <c r="A35" s="165" t="s">
        <v>43</v>
      </c>
      <c r="B35" s="165"/>
      <c r="C35" s="165"/>
      <c r="D35" s="3">
        <f>M4-O4-Y3</f>
        <v>7182046.5762414895</v>
      </c>
      <c r="G35">
        <v>26</v>
      </c>
      <c r="H35" s="21">
        <v>44621</v>
      </c>
      <c r="I35" s="16">
        <f t="shared" si="1"/>
        <v>17743.019185327299</v>
      </c>
      <c r="J35" s="16">
        <f t="shared" si="2"/>
        <v>3548.6038370654601</v>
      </c>
      <c r="K35" s="16">
        <f t="shared" si="16"/>
        <v>95463.376977607244</v>
      </c>
      <c r="L35" s="26">
        <f t="shared" si="3"/>
        <v>116755</v>
      </c>
      <c r="M35" s="26">
        <f t="shared" si="4"/>
        <v>116970.75851033186</v>
      </c>
      <c r="N35" s="16">
        <f t="shared" si="5"/>
        <v>2567810.5009598564</v>
      </c>
      <c r="O35" s="16"/>
      <c r="P35" s="16">
        <f t="shared" si="6"/>
        <v>25347.170264753207</v>
      </c>
      <c r="Q35" s="16">
        <f t="shared" si="0"/>
        <v>113646.8773542944</v>
      </c>
      <c r="R35" s="16">
        <f t="shared" si="7"/>
        <v>3056917.2630474498</v>
      </c>
      <c r="S35" s="26">
        <f t="shared" si="8"/>
        <v>138994.0476190476</v>
      </c>
      <c r="T35" s="16">
        <f t="shared" si="9"/>
        <v>6490.7351858166112</v>
      </c>
      <c r="U35" s="26">
        <f t="shared" si="17"/>
        <v>116755</v>
      </c>
      <c r="V35" s="26">
        <f t="shared" si="10"/>
        <v>116970.75851033186</v>
      </c>
      <c r="W35" s="3">
        <f t="shared" si="11"/>
        <v>19092.675395521448</v>
      </c>
      <c r="X35" s="16">
        <f t="shared" si="12"/>
        <v>11638.888888888891</v>
      </c>
      <c r="Y35" s="16">
        <f t="shared" si="13"/>
        <v>43.151702066370824</v>
      </c>
      <c r="Z35" s="26">
        <f t="shared" si="14"/>
        <v>86023.435715589658</v>
      </c>
      <c r="AA35" s="26">
        <f t="shared" si="15"/>
        <v>86196.04252385514</v>
      </c>
      <c r="AB35" s="16">
        <f t="shared" si="18"/>
        <v>215.7585103318541</v>
      </c>
    </row>
    <row r="36" spans="1:28" x14ac:dyDescent="0.25">
      <c r="G36">
        <v>27</v>
      </c>
      <c r="H36" s="21">
        <v>44652</v>
      </c>
      <c r="I36" s="16">
        <f t="shared" si="1"/>
        <v>18397.226106529997</v>
      </c>
      <c r="J36" s="16">
        <f t="shared" si="2"/>
        <v>3679.4452213059994</v>
      </c>
      <c r="K36" s="16">
        <f t="shared" si="16"/>
        <v>94678.328672164003</v>
      </c>
      <c r="L36" s="26">
        <f t="shared" si="3"/>
        <v>116755</v>
      </c>
      <c r="M36" s="26">
        <f t="shared" si="4"/>
        <v>116968.98420841333</v>
      </c>
      <c r="N36" s="16">
        <f t="shared" si="5"/>
        <v>2545733.8296320206</v>
      </c>
      <c r="O36" s="16"/>
      <c r="P36" s="16">
        <f t="shared" si="6"/>
        <v>26281.751580757074</v>
      </c>
      <c r="Q36" s="16">
        <f t="shared" si="0"/>
        <v>112712.29603829053</v>
      </c>
      <c r="R36" s="16">
        <f t="shared" si="7"/>
        <v>3030635.5114666927</v>
      </c>
      <c r="S36" s="26">
        <f t="shared" si="8"/>
        <v>138994.0476190476</v>
      </c>
      <c r="T36" s="16">
        <f t="shared" si="9"/>
        <v>6437.3582697674174</v>
      </c>
      <c r="U36" s="26">
        <f t="shared" si="17"/>
        <v>116755</v>
      </c>
      <c r="V36" s="26">
        <f t="shared" si="10"/>
        <v>116968.98420841333</v>
      </c>
      <c r="W36" s="3">
        <f t="shared" si="11"/>
        <v>18935.665734432801</v>
      </c>
      <c r="X36" s="16">
        <f t="shared" si="12"/>
        <v>11638.888888888891</v>
      </c>
      <c r="Y36" s="16">
        <f t="shared" si="13"/>
        <v>42.796841682664279</v>
      </c>
      <c r="Z36" s="26">
        <f t="shared" si="14"/>
        <v>86180.445376678312</v>
      </c>
      <c r="AA36" s="26">
        <f t="shared" si="15"/>
        <v>86351.632743408976</v>
      </c>
      <c r="AB36" s="16">
        <f t="shared" si="18"/>
        <v>213.98420841332137</v>
      </c>
    </row>
    <row r="37" spans="1:28" x14ac:dyDescent="0.25">
      <c r="A37" t="s">
        <v>115</v>
      </c>
      <c r="D37" s="9" t="str">
        <f>VLOOKUP('Калькулятор лизинга'!K7,Лист2!C2:E10,3,)</f>
        <v>да</v>
      </c>
      <c r="G37">
        <v>28</v>
      </c>
      <c r="H37" s="21">
        <v>44682</v>
      </c>
      <c r="I37" s="16">
        <f t="shared" si="1"/>
        <v>19075.554440851811</v>
      </c>
      <c r="J37" s="16">
        <f t="shared" si="2"/>
        <v>3815.1108881703622</v>
      </c>
      <c r="K37" s="16">
        <f t="shared" si="16"/>
        <v>93864.334670977827</v>
      </c>
      <c r="L37" s="26">
        <f t="shared" si="3"/>
        <v>116755</v>
      </c>
      <c r="M37" s="26">
        <f t="shared" si="4"/>
        <v>116967.14448580267</v>
      </c>
      <c r="N37" s="16">
        <f t="shared" si="5"/>
        <v>2522843.1643029982</v>
      </c>
      <c r="O37" s="16"/>
      <c r="P37" s="16">
        <f t="shared" si="6"/>
        <v>27250.792058359657</v>
      </c>
      <c r="Q37" s="16">
        <f t="shared" si="0"/>
        <v>111743.25556068795</v>
      </c>
      <c r="R37" s="16">
        <f t="shared" si="7"/>
        <v>3003384.7194083328</v>
      </c>
      <c r="S37" s="26">
        <f t="shared" si="8"/>
        <v>138994.0476190476</v>
      </c>
      <c r="T37" s="16">
        <f t="shared" si="9"/>
        <v>6382.0132812302736</v>
      </c>
      <c r="U37" s="26">
        <f t="shared" si="17"/>
        <v>116755</v>
      </c>
      <c r="V37" s="26">
        <f t="shared" si="10"/>
        <v>116967.14448580267</v>
      </c>
      <c r="W37" s="3">
        <f t="shared" si="11"/>
        <v>18772.866934195565</v>
      </c>
      <c r="X37" s="16">
        <f t="shared" si="12"/>
        <v>11638.888888888891</v>
      </c>
      <c r="Y37" s="16">
        <f t="shared" si="13"/>
        <v>42.42889716053368</v>
      </c>
      <c r="Z37" s="26">
        <f t="shared" si="14"/>
        <v>86343.244176915541</v>
      </c>
      <c r="AA37" s="26">
        <f t="shared" si="15"/>
        <v>86512.95976555768</v>
      </c>
      <c r="AB37" s="16">
        <f t="shared" si="18"/>
        <v>212.14448580266838</v>
      </c>
    </row>
    <row r="38" spans="1:28" x14ac:dyDescent="0.25">
      <c r="A38" t="s">
        <v>119</v>
      </c>
      <c r="D38" s="9" t="str">
        <f>VLOOKUP('Калькулятор лизинга'!K7,Лист2!C2:F10,4,)</f>
        <v>да</v>
      </c>
      <c r="G38">
        <v>29</v>
      </c>
      <c r="H38" s="21">
        <v>44713</v>
      </c>
      <c r="I38" s="16">
        <f t="shared" si="1"/>
        <v>19778.893574436494</v>
      </c>
      <c r="J38" s="16">
        <f t="shared" si="2"/>
        <v>3955.778714887299</v>
      </c>
      <c r="K38" s="16">
        <f t="shared" si="16"/>
        <v>93020.327710676211</v>
      </c>
      <c r="L38" s="26">
        <f t="shared" si="3"/>
        <v>116755</v>
      </c>
      <c r="M38" s="26">
        <f t="shared" si="4"/>
        <v>116965.23693035859</v>
      </c>
      <c r="N38" s="16">
        <f t="shared" si="5"/>
        <v>2499108.4920136742</v>
      </c>
      <c r="O38" s="16"/>
      <c r="P38" s="16">
        <f t="shared" si="6"/>
        <v>28255.562249194903</v>
      </c>
      <c r="Q38" s="16">
        <f t="shared" si="0"/>
        <v>110738.4853698527</v>
      </c>
      <c r="R38" s="16">
        <f t="shared" si="7"/>
        <v>2975129.157159138</v>
      </c>
      <c r="S38" s="26">
        <f t="shared" si="8"/>
        <v>138994.0476190476</v>
      </c>
      <c r="T38" s="16">
        <f t="shared" si="9"/>
        <v>6324.6276549540444</v>
      </c>
      <c r="U38" s="26">
        <f t="shared" si="17"/>
        <v>116755</v>
      </c>
      <c r="V38" s="26">
        <f t="shared" si="10"/>
        <v>116965.23693035859</v>
      </c>
      <c r="W38" s="3">
        <f t="shared" si="11"/>
        <v>18604.065542135242</v>
      </c>
      <c r="X38" s="16">
        <f t="shared" si="12"/>
        <v>11638.888888888891</v>
      </c>
      <c r="Y38" s="16">
        <f t="shared" si="13"/>
        <v>42.047386071716637</v>
      </c>
      <c r="Z38" s="26">
        <f t="shared" si="14"/>
        <v>86512.045568975867</v>
      </c>
      <c r="AA38" s="26">
        <f t="shared" si="15"/>
        <v>86680.235113262737</v>
      </c>
      <c r="AB38" s="16">
        <f t="shared" si="18"/>
        <v>210.23693035858318</v>
      </c>
    </row>
    <row r="39" spans="1:28" x14ac:dyDescent="0.25">
      <c r="G39">
        <v>30</v>
      </c>
      <c r="H39" s="21">
        <v>44743</v>
      </c>
      <c r="I39" s="16">
        <f t="shared" si="1"/>
        <v>20508.165686187836</v>
      </c>
      <c r="J39" s="16">
        <f t="shared" si="2"/>
        <v>4101.6331372375671</v>
      </c>
      <c r="K39" s="16">
        <f t="shared" si="16"/>
        <v>92145.201176574599</v>
      </c>
      <c r="L39" s="26">
        <f t="shared" si="3"/>
        <v>116755</v>
      </c>
      <c r="M39" s="26">
        <f t="shared" si="4"/>
        <v>116963.25904100113</v>
      </c>
      <c r="N39" s="16">
        <f t="shared" si="5"/>
        <v>2474498.6931902487</v>
      </c>
      <c r="O39" s="16"/>
      <c r="P39" s="16">
        <f t="shared" si="6"/>
        <v>29297.379551696809</v>
      </c>
      <c r="Q39" s="16">
        <f t="shared" si="0"/>
        <v>109696.66806735079</v>
      </c>
      <c r="R39" s="16">
        <f t="shared" si="7"/>
        <v>2945831.7776074414</v>
      </c>
      <c r="S39" s="26">
        <f t="shared" si="8"/>
        <v>138994.0476190476</v>
      </c>
      <c r="T39" s="16">
        <f t="shared" si="9"/>
        <v>6265.1261501176132</v>
      </c>
      <c r="U39" s="26">
        <f t="shared" si="17"/>
        <v>116755</v>
      </c>
      <c r="V39" s="26">
        <f t="shared" si="10"/>
        <v>116963.25904100113</v>
      </c>
      <c r="W39" s="3">
        <f t="shared" si="11"/>
        <v>18429.040235314922</v>
      </c>
      <c r="X39" s="16">
        <f t="shared" si="12"/>
        <v>11638.888888888891</v>
      </c>
      <c r="Y39" s="16">
        <f t="shared" si="13"/>
        <v>41.651808200227904</v>
      </c>
      <c r="Z39" s="26">
        <f t="shared" si="14"/>
        <v>86687.070875796184</v>
      </c>
      <c r="AA39" s="26">
        <f t="shared" si="15"/>
        <v>86853.678108597087</v>
      </c>
      <c r="AB39" s="16">
        <f t="shared" si="18"/>
        <v>208.25904100113951</v>
      </c>
    </row>
    <row r="40" spans="1:28" x14ac:dyDescent="0.25">
      <c r="G40">
        <v>31</v>
      </c>
      <c r="H40" s="21">
        <v>44774</v>
      </c>
      <c r="I40" s="16">
        <f t="shared" si="1"/>
        <v>21264.326956879064</v>
      </c>
      <c r="J40" s="16">
        <f t="shared" si="2"/>
        <v>4252.8653913758126</v>
      </c>
      <c r="K40" s="16">
        <f t="shared" si="16"/>
        <v>91237.807651745126</v>
      </c>
      <c r="L40" s="26">
        <f t="shared" si="3"/>
        <v>116755</v>
      </c>
      <c r="M40" s="26">
        <f t="shared" si="4"/>
        <v>116961.20822443251</v>
      </c>
      <c r="N40" s="16">
        <f t="shared" si="5"/>
        <v>2448981.5008419938</v>
      </c>
      <c r="O40" s="16"/>
      <c r="P40" s="16">
        <f t="shared" si="6"/>
        <v>30377.609938398557</v>
      </c>
      <c r="Q40" s="16">
        <f t="shared" si="0"/>
        <v>108616.43768064905</v>
      </c>
      <c r="R40" s="16">
        <f t="shared" si="7"/>
        <v>2915454.1676690429</v>
      </c>
      <c r="S40" s="26">
        <f t="shared" si="8"/>
        <v>138994.0476190476</v>
      </c>
      <c r="T40" s="16">
        <f t="shared" si="9"/>
        <v>6203.430751678331</v>
      </c>
      <c r="U40" s="26">
        <f t="shared" si="17"/>
        <v>116755</v>
      </c>
      <c r="V40" s="26">
        <f t="shared" si="10"/>
        <v>116961.20822443251</v>
      </c>
      <c r="W40" s="3">
        <f t="shared" si="11"/>
        <v>18247.561530349027</v>
      </c>
      <c r="X40" s="16">
        <f t="shared" si="12"/>
        <v>11638.888888888891</v>
      </c>
      <c r="Y40" s="16">
        <f t="shared" si="13"/>
        <v>41.241644886504147</v>
      </c>
      <c r="Z40" s="26">
        <f t="shared" si="14"/>
        <v>86868.54958076209</v>
      </c>
      <c r="AA40" s="26">
        <f t="shared" si="15"/>
        <v>87033.516160308092</v>
      </c>
      <c r="AB40" s="16">
        <f t="shared" si="18"/>
        <v>206.20822443252072</v>
      </c>
    </row>
    <row r="41" spans="1:28" x14ac:dyDescent="0.25">
      <c r="G41">
        <v>32</v>
      </c>
      <c r="H41" s="21">
        <v>44805</v>
      </c>
      <c r="I41" s="16">
        <f t="shared" si="1"/>
        <v>22048.368822843549</v>
      </c>
      <c r="J41" s="16">
        <f t="shared" si="2"/>
        <v>4409.6737645687099</v>
      </c>
      <c r="K41" s="16">
        <f t="shared" si="16"/>
        <v>90296.957412587741</v>
      </c>
      <c r="L41" s="26">
        <f t="shared" si="3"/>
        <v>116755</v>
      </c>
      <c r="M41" s="26">
        <f t="shared" si="4"/>
        <v>116959.08179173683</v>
      </c>
      <c r="N41" s="16">
        <f t="shared" si="5"/>
        <v>2422523.4582545813</v>
      </c>
      <c r="O41" s="16"/>
      <c r="P41" s="16">
        <f t="shared" si="6"/>
        <v>31497.669746919244</v>
      </c>
      <c r="Q41" s="16">
        <f t="shared" si="0"/>
        <v>107496.37787212836</v>
      </c>
      <c r="R41" s="16">
        <f t="shared" si="7"/>
        <v>2883956.4979221239</v>
      </c>
      <c r="S41" s="26">
        <f t="shared" si="8"/>
        <v>138994.0476190476</v>
      </c>
      <c r="T41" s="16">
        <f t="shared" si="9"/>
        <v>6139.4605680830537</v>
      </c>
      <c r="U41" s="26">
        <f t="shared" si="17"/>
        <v>116755</v>
      </c>
      <c r="V41" s="26">
        <f t="shared" si="10"/>
        <v>116959.08179173683</v>
      </c>
      <c r="W41" s="3">
        <f t="shared" si="11"/>
        <v>18059.391482517549</v>
      </c>
      <c r="X41" s="16">
        <f t="shared" si="12"/>
        <v>11638.888888888891</v>
      </c>
      <c r="Y41" s="16">
        <f t="shared" si="13"/>
        <v>40.816358347366567</v>
      </c>
      <c r="Z41" s="26">
        <f t="shared" si="14"/>
        <v>87056.719628593564</v>
      </c>
      <c r="AA41" s="26">
        <f t="shared" si="15"/>
        <v>87219.985061983025</v>
      </c>
      <c r="AB41" s="16">
        <f t="shared" si="18"/>
        <v>204.08179173683283</v>
      </c>
    </row>
    <row r="42" spans="1:28" x14ac:dyDescent="0.25">
      <c r="G42">
        <v>33</v>
      </c>
      <c r="H42" s="21">
        <v>44835</v>
      </c>
      <c r="I42" s="16">
        <f t="shared" ref="I42:I73" si="19">IF(G42&lt;=$D$14,(L42-K42)*1/(1+$D$20),0)</f>
        <v>22861.319275890601</v>
      </c>
      <c r="J42" s="16">
        <f t="shared" ref="J42:J73" si="20">IF(G42&lt;=$D$14,I42*$D$20,0)</f>
        <v>4572.2638551781201</v>
      </c>
      <c r="K42" s="16">
        <f t="shared" ref="K42:K73" si="21">IF(G42&lt;=$D$14,N41*$D$17,0)</f>
        <v>89321.416868931279</v>
      </c>
      <c r="L42" s="26">
        <f t="shared" ref="L42:L73" si="22">IF(G42&lt;=$D$14,-$D$29,0)</f>
        <v>116755</v>
      </c>
      <c r="M42" s="26">
        <f t="shared" si="4"/>
        <v>116956.87695485455</v>
      </c>
      <c r="N42" s="16">
        <f t="shared" ref="N42:N73" si="23">IF(G42&lt;=$D$14,N41-I42-J42,0)</f>
        <v>2395089.8751235129</v>
      </c>
      <c r="O42" s="16"/>
      <c r="P42" s="16">
        <f t="shared" si="6"/>
        <v>32659.027536986439</v>
      </c>
      <c r="Q42" s="16">
        <f t="shared" ref="Q42:Q74" si="24">IF(G42&lt;=$D$14,R41*$D$17,0)</f>
        <v>106335.02008206116</v>
      </c>
      <c r="R42" s="16">
        <f t="shared" si="7"/>
        <v>2851297.4703851375</v>
      </c>
      <c r="S42" s="26">
        <f t="shared" si="8"/>
        <v>138994.0476190476</v>
      </c>
      <c r="T42" s="16">
        <f t="shared" si="9"/>
        <v>6073.131725207666</v>
      </c>
      <c r="U42" s="26">
        <f t="shared" si="17"/>
        <v>116755</v>
      </c>
      <c r="V42" s="26">
        <f t="shared" si="10"/>
        <v>116956.87695485455</v>
      </c>
      <c r="W42" s="3">
        <f t="shared" si="11"/>
        <v>17864.283373786257</v>
      </c>
      <c r="X42" s="16">
        <f t="shared" si="12"/>
        <v>11638.888888888891</v>
      </c>
      <c r="Y42" s="16">
        <f t="shared" si="13"/>
        <v>40.375390970909692</v>
      </c>
      <c r="Z42" s="26">
        <f t="shared" si="14"/>
        <v>87251.827737324857</v>
      </c>
      <c r="AA42" s="26">
        <f t="shared" si="15"/>
        <v>87413.329301208505</v>
      </c>
      <c r="AB42" s="16">
        <f t="shared" si="18"/>
        <v>201.87695485454844</v>
      </c>
    </row>
    <row r="43" spans="1:28" x14ac:dyDescent="0.25">
      <c r="B43" t="s">
        <v>29</v>
      </c>
      <c r="G43">
        <v>34</v>
      </c>
      <c r="H43" s="21">
        <v>44866</v>
      </c>
      <c r="I43" s="16">
        <f t="shared" si="19"/>
        <v>23704.244211150788</v>
      </c>
      <c r="J43" s="16">
        <f t="shared" si="20"/>
        <v>4740.848842230158</v>
      </c>
      <c r="K43" s="16">
        <f t="shared" si="21"/>
        <v>88309.906946619056</v>
      </c>
      <c r="L43" s="26">
        <f t="shared" si="22"/>
        <v>116755</v>
      </c>
      <c r="M43" s="26">
        <f t="shared" si="4"/>
        <v>116954.59082292696</v>
      </c>
      <c r="N43" s="16">
        <f t="shared" si="23"/>
        <v>2366644.782070132</v>
      </c>
      <c r="O43" s="16"/>
      <c r="P43" s="16">
        <f t="shared" si="6"/>
        <v>33863.206015929565</v>
      </c>
      <c r="Q43" s="16">
        <f t="shared" si="24"/>
        <v>105130.84160311804</v>
      </c>
      <c r="R43" s="16">
        <f t="shared" si="7"/>
        <v>2817434.2643692079</v>
      </c>
      <c r="S43" s="26">
        <f t="shared" si="8"/>
        <v>138994.0476190476</v>
      </c>
      <c r="T43" s="16">
        <f t="shared" ref="T43:T74" si="25">IF(G43&lt;=$D$14,IF($D$37="льготное",K43,N42*($D$24+3%)/12),0)</f>
        <v>6004.3572563860289</v>
      </c>
      <c r="U43" s="26">
        <f t="shared" si="17"/>
        <v>116755</v>
      </c>
      <c r="V43" s="26">
        <f t="shared" si="10"/>
        <v>116954.59082292696</v>
      </c>
      <c r="W43" s="3">
        <f t="shared" si="11"/>
        <v>17661.981389323813</v>
      </c>
      <c r="X43" s="16">
        <f t="shared" si="12"/>
        <v>11638.888888888891</v>
      </c>
      <c r="Y43" s="16">
        <f t="shared" si="13"/>
        <v>39.918164585391878</v>
      </c>
      <c r="Z43" s="26">
        <f t="shared" si="14"/>
        <v>87454.129721787293</v>
      </c>
      <c r="AA43" s="26">
        <f t="shared" si="15"/>
        <v>87613.802380128851</v>
      </c>
      <c r="AB43" s="16">
        <f t="shared" si="18"/>
        <v>199.59082292695939</v>
      </c>
    </row>
    <row r="44" spans="1:28" x14ac:dyDescent="0.25">
      <c r="B44" t="s">
        <v>44</v>
      </c>
      <c r="G44">
        <v>35</v>
      </c>
      <c r="H44" s="21">
        <v>44896</v>
      </c>
      <c r="I44" s="16">
        <f t="shared" si="19"/>
        <v>24578.248824618047</v>
      </c>
      <c r="J44" s="16">
        <f t="shared" si="20"/>
        <v>4915.6497649236098</v>
      </c>
      <c r="K44" s="16">
        <f t="shared" si="21"/>
        <v>87261.101410458345</v>
      </c>
      <c r="L44" s="26">
        <f t="shared" si="22"/>
        <v>116755</v>
      </c>
      <c r="M44" s="26">
        <f t="shared" si="4"/>
        <v>116952.22039850584</v>
      </c>
      <c r="N44" s="16">
        <f t="shared" si="23"/>
        <v>2337150.8834805908</v>
      </c>
      <c r="O44" s="16"/>
      <c r="P44" s="16">
        <f t="shared" si="6"/>
        <v>35111.784035168501</v>
      </c>
      <c r="Q44" s="16">
        <f t="shared" si="24"/>
        <v>103882.2635838791</v>
      </c>
      <c r="R44" s="16">
        <f t="shared" si="7"/>
        <v>2782322.4803340393</v>
      </c>
      <c r="S44" s="26">
        <f t="shared" si="8"/>
        <v>138994.0476190476</v>
      </c>
      <c r="T44" s="16">
        <f t="shared" si="25"/>
        <v>5933.0469883841506</v>
      </c>
      <c r="U44" s="26">
        <f t="shared" si="17"/>
        <v>116755</v>
      </c>
      <c r="V44" s="26">
        <f t="shared" si="10"/>
        <v>116952.22039850584</v>
      </c>
      <c r="W44" s="3">
        <f t="shared" si="11"/>
        <v>17452.220282091668</v>
      </c>
      <c r="X44" s="16">
        <f t="shared" si="12"/>
        <v>11638.888888888891</v>
      </c>
      <c r="Y44" s="16">
        <f t="shared" si="13"/>
        <v>39.444079701168867</v>
      </c>
      <c r="Z44" s="26">
        <f t="shared" si="14"/>
        <v>87663.890829019438</v>
      </c>
      <c r="AA44" s="26">
        <f t="shared" si="15"/>
        <v>87821.667147824119</v>
      </c>
      <c r="AB44" s="16">
        <f t="shared" si="18"/>
        <v>197.22039850584432</v>
      </c>
    </row>
    <row r="45" spans="1:28" x14ac:dyDescent="0.25">
      <c r="G45">
        <v>36</v>
      </c>
      <c r="H45" s="21">
        <v>44927</v>
      </c>
      <c r="I45" s="16">
        <f t="shared" si="19"/>
        <v>25484.479062220671</v>
      </c>
      <c r="J45" s="16">
        <f t="shared" si="20"/>
        <v>5096.8958124441342</v>
      </c>
      <c r="K45" s="16">
        <f t="shared" si="21"/>
        <v>86173.625125335195</v>
      </c>
      <c r="L45" s="26">
        <f t="shared" si="22"/>
        <v>116755</v>
      </c>
      <c r="M45" s="26">
        <f t="shared" si="4"/>
        <v>116949.76257362339</v>
      </c>
      <c r="N45" s="16">
        <f t="shared" si="23"/>
        <v>2306569.5086059263</v>
      </c>
      <c r="O45" s="16"/>
      <c r="P45" s="16">
        <f t="shared" si="6"/>
        <v>36406.398660315128</v>
      </c>
      <c r="Q45" s="16">
        <f t="shared" si="24"/>
        <v>102587.64895873248</v>
      </c>
      <c r="R45" s="16">
        <f t="shared" si="7"/>
        <v>2745916.0816737241</v>
      </c>
      <c r="S45" s="26">
        <f t="shared" si="8"/>
        <v>138994.0476190476</v>
      </c>
      <c r="T45" s="16">
        <f t="shared" si="25"/>
        <v>5859.1074231700923</v>
      </c>
      <c r="U45" s="26">
        <f t="shared" si="17"/>
        <v>116755</v>
      </c>
      <c r="V45" s="26">
        <f t="shared" si="10"/>
        <v>116949.76257362339</v>
      </c>
      <c r="W45" s="3">
        <f t="shared" si="11"/>
        <v>17234.72502506704</v>
      </c>
      <c r="X45" s="16">
        <f t="shared" si="12"/>
        <v>11638.888888888891</v>
      </c>
      <c r="Y45" s="16">
        <f t="shared" si="13"/>
        <v>38.952514724676519</v>
      </c>
      <c r="Z45" s="26">
        <f t="shared" si="14"/>
        <v>87881.386086044062</v>
      </c>
      <c r="AA45" s="26">
        <f t="shared" si="15"/>
        <v>88037.196144942776</v>
      </c>
      <c r="AB45" s="16">
        <f t="shared" si="18"/>
        <v>194.76257362338256</v>
      </c>
    </row>
    <row r="46" spans="1:28" x14ac:dyDescent="0.25">
      <c r="G46">
        <v>37</v>
      </c>
      <c r="H46" s="21">
        <v>44958</v>
      </c>
      <c r="I46" s="16">
        <f t="shared" si="19"/>
        <v>26424.123122321631</v>
      </c>
      <c r="J46" s="16">
        <f t="shared" si="20"/>
        <v>5284.8246244643269</v>
      </c>
      <c r="K46" s="16">
        <f t="shared" si="21"/>
        <v>85046.052253214046</v>
      </c>
      <c r="L46" s="26">
        <f t="shared" si="22"/>
        <v>116755</v>
      </c>
      <c r="M46" s="26">
        <f t="shared" si="4"/>
        <v>116947.21412571716</v>
      </c>
      <c r="N46" s="16">
        <f t="shared" si="23"/>
        <v>2274860.5608591405</v>
      </c>
      <c r="O46" s="16"/>
      <c r="P46" s="16">
        <f t="shared" si="6"/>
        <v>37748.747317602218</v>
      </c>
      <c r="Q46" s="16">
        <f t="shared" si="24"/>
        <v>101245.30030144539</v>
      </c>
      <c r="R46" s="16">
        <f t="shared" si="7"/>
        <v>2708167.3343561217</v>
      </c>
      <c r="S46" s="26">
        <f t="shared" si="8"/>
        <v>138994.0476190476</v>
      </c>
      <c r="T46" s="16">
        <f t="shared" si="25"/>
        <v>5782.4416153245793</v>
      </c>
      <c r="U46" s="26">
        <f t="shared" si="17"/>
        <v>116755</v>
      </c>
      <c r="V46" s="26">
        <f t="shared" si="10"/>
        <v>116947.21412571716</v>
      </c>
      <c r="W46" s="3">
        <f t="shared" si="11"/>
        <v>17009.210450642811</v>
      </c>
      <c r="X46" s="16">
        <f t="shared" si="12"/>
        <v>11638.888888888891</v>
      </c>
      <c r="Y46" s="16">
        <f t="shared" si="13"/>
        <v>38.44282514343211</v>
      </c>
      <c r="Z46" s="26">
        <f t="shared" si="14"/>
        <v>88106.900660468295</v>
      </c>
      <c r="AA46" s="26">
        <f t="shared" si="15"/>
        <v>88260.671961042026</v>
      </c>
      <c r="AB46" s="16">
        <f t="shared" si="18"/>
        <v>192.21412571716053</v>
      </c>
    </row>
    <row r="47" spans="1:28" x14ac:dyDescent="0.25">
      <c r="G47">
        <v>38</v>
      </c>
      <c r="H47" s="21">
        <v>44986</v>
      </c>
      <c r="I47" s="16">
        <f t="shared" si="19"/>
        <v>27398.413013617625</v>
      </c>
      <c r="J47" s="16">
        <f t="shared" si="20"/>
        <v>5479.6826027235256</v>
      </c>
      <c r="K47" s="16">
        <f t="shared" si="21"/>
        <v>83876.904383658853</v>
      </c>
      <c r="L47" s="26">
        <f t="shared" si="22"/>
        <v>116755</v>
      </c>
      <c r="M47" s="26">
        <f t="shared" si="4"/>
        <v>116944.57171340493</v>
      </c>
      <c r="N47" s="16">
        <f t="shared" si="23"/>
        <v>2241982.4652427994</v>
      </c>
      <c r="O47" s="16"/>
      <c r="P47" s="16">
        <f t="shared" si="6"/>
        <v>39140.590019453652</v>
      </c>
      <c r="Q47" s="16">
        <f t="shared" si="24"/>
        <v>99853.457599593952</v>
      </c>
      <c r="R47" s="16">
        <f t="shared" si="7"/>
        <v>2669026.7443366679</v>
      </c>
      <c r="S47" s="26">
        <f t="shared" si="8"/>
        <v>138994.0476190476</v>
      </c>
      <c r="T47" s="16">
        <f t="shared" si="25"/>
        <v>5702.9490449315954</v>
      </c>
      <c r="U47" s="26">
        <f t="shared" si="17"/>
        <v>116755</v>
      </c>
      <c r="V47" s="26">
        <f t="shared" si="10"/>
        <v>116944.57171340493</v>
      </c>
      <c r="W47" s="3">
        <f t="shared" si="11"/>
        <v>16775.380876731771</v>
      </c>
      <c r="X47" s="16">
        <f t="shared" si="12"/>
        <v>11638.888888888891</v>
      </c>
      <c r="Y47" s="16">
        <f t="shared" si="13"/>
        <v>37.914342680985676</v>
      </c>
      <c r="Z47" s="26">
        <f t="shared" si="14"/>
        <v>88340.730234379342</v>
      </c>
      <c r="AA47" s="26">
        <f t="shared" si="15"/>
        <v>88492.387605103286</v>
      </c>
      <c r="AB47" s="16">
        <f t="shared" si="18"/>
        <v>189.57171340492837</v>
      </c>
    </row>
    <row r="48" spans="1:28" x14ac:dyDescent="0.25">
      <c r="G48">
        <v>39</v>
      </c>
      <c r="H48" s="21">
        <v>45017</v>
      </c>
      <c r="I48" s="16">
        <f t="shared" si="19"/>
        <v>28408.626170479984</v>
      </c>
      <c r="J48" s="16">
        <f t="shared" si="20"/>
        <v>5681.7252340959967</v>
      </c>
      <c r="K48" s="16">
        <f t="shared" si="21"/>
        <v>82664.64859542402</v>
      </c>
      <c r="L48" s="26">
        <f t="shared" si="22"/>
        <v>116755</v>
      </c>
      <c r="M48" s="26">
        <f t="shared" si="4"/>
        <v>116941.83187210356</v>
      </c>
      <c r="N48" s="16">
        <f t="shared" si="23"/>
        <v>2207892.1138382233</v>
      </c>
      <c r="O48" s="16"/>
      <c r="P48" s="16">
        <f t="shared" si="6"/>
        <v>40583.751672114173</v>
      </c>
      <c r="Q48" s="16">
        <f t="shared" si="24"/>
        <v>98410.295946933431</v>
      </c>
      <c r="R48" s="16">
        <f t="shared" si="7"/>
        <v>2628442.9926645537</v>
      </c>
      <c r="S48" s="26">
        <f t="shared" si="8"/>
        <v>138994.0476190476</v>
      </c>
      <c r="T48" s="16">
        <f t="shared" si="25"/>
        <v>5620.5254857822956</v>
      </c>
      <c r="U48" s="26">
        <f t="shared" si="17"/>
        <v>116755</v>
      </c>
      <c r="V48" s="26">
        <f t="shared" si="10"/>
        <v>116941.83187210356</v>
      </c>
      <c r="W48" s="3">
        <f t="shared" si="11"/>
        <v>16532.929719084805</v>
      </c>
      <c r="X48" s="16">
        <f t="shared" si="12"/>
        <v>11638.888888888891</v>
      </c>
      <c r="Y48" s="16">
        <f t="shared" si="13"/>
        <v>37.366374420713321</v>
      </c>
      <c r="Z48" s="26">
        <f t="shared" si="14"/>
        <v>88583.181392026308</v>
      </c>
      <c r="AA48" s="26">
        <f t="shared" si="15"/>
        <v>88732.646889709154</v>
      </c>
      <c r="AB48" s="16">
        <f t="shared" si="18"/>
        <v>186.83187210356661</v>
      </c>
    </row>
    <row r="49" spans="7:28" x14ac:dyDescent="0.25">
      <c r="G49">
        <v>40</v>
      </c>
      <c r="H49" s="21">
        <v>45047</v>
      </c>
      <c r="I49" s="16">
        <f t="shared" si="19"/>
        <v>29456.087127855124</v>
      </c>
      <c r="J49" s="16">
        <f t="shared" si="20"/>
        <v>5891.2174255710252</v>
      </c>
      <c r="K49" s="16">
        <f t="shared" si="21"/>
        <v>81407.695446573853</v>
      </c>
      <c r="L49" s="26">
        <f t="shared" si="22"/>
        <v>116755</v>
      </c>
      <c r="M49" s="26">
        <f t="shared" si="4"/>
        <v>116938.99100948652</v>
      </c>
      <c r="N49" s="16">
        <f t="shared" si="23"/>
        <v>2172544.8092847974</v>
      </c>
      <c r="O49" s="16"/>
      <c r="P49" s="16">
        <f t="shared" si="6"/>
        <v>42080.12446836436</v>
      </c>
      <c r="Q49" s="16">
        <f t="shared" si="24"/>
        <v>96913.923150683244</v>
      </c>
      <c r="R49" s="16">
        <f t="shared" si="7"/>
        <v>2586362.8681961894</v>
      </c>
      <c r="S49" s="26">
        <f t="shared" si="8"/>
        <v>138994.0476190476</v>
      </c>
      <c r="T49" s="16">
        <f t="shared" si="25"/>
        <v>5535.0628687194339</v>
      </c>
      <c r="U49" s="26">
        <f t="shared" si="17"/>
        <v>116755</v>
      </c>
      <c r="V49" s="26">
        <f t="shared" si="10"/>
        <v>116938.99100948652</v>
      </c>
      <c r="W49" s="3">
        <f t="shared" si="11"/>
        <v>16281.539089314771</v>
      </c>
      <c r="X49" s="16">
        <f t="shared" si="12"/>
        <v>11638.888888888891</v>
      </c>
      <c r="Y49" s="16">
        <f t="shared" si="13"/>
        <v>36.79820189730372</v>
      </c>
      <c r="Z49" s="26">
        <f t="shared" si="14"/>
        <v>88834.572021796339</v>
      </c>
      <c r="AA49" s="26">
        <f t="shared" si="15"/>
        <v>88981.76482938556</v>
      </c>
      <c r="AB49" s="16">
        <f t="shared" si="18"/>
        <v>183.99100948651861</v>
      </c>
    </row>
    <row r="50" spans="7:28" x14ac:dyDescent="0.25">
      <c r="G50">
        <v>41</v>
      </c>
      <c r="H50" s="21">
        <v>45078</v>
      </c>
      <c r="I50" s="16">
        <f t="shared" si="19"/>
        <v>30542.169257920592</v>
      </c>
      <c r="J50" s="16">
        <f t="shared" si="20"/>
        <v>6108.4338515841191</v>
      </c>
      <c r="K50" s="16">
        <f t="shared" si="21"/>
        <v>80104.396890495293</v>
      </c>
      <c r="L50" s="26">
        <f t="shared" si="22"/>
        <v>116755</v>
      </c>
      <c r="M50" s="26">
        <f t="shared" si="4"/>
        <v>116936.04540077373</v>
      </c>
      <c r="N50" s="16">
        <f t="shared" si="23"/>
        <v>2135894.2061752924</v>
      </c>
      <c r="O50" s="16"/>
      <c r="P50" s="16">
        <f t="shared" si="6"/>
        <v>43631.670368457897</v>
      </c>
      <c r="Q50" s="16">
        <f t="shared" si="24"/>
        <v>95362.377250589707</v>
      </c>
      <c r="R50" s="16">
        <f t="shared" si="7"/>
        <v>2542731.1978277317</v>
      </c>
      <c r="S50" s="26">
        <f t="shared" si="8"/>
        <v>138994.0476190476</v>
      </c>
      <c r="T50" s="16">
        <f t="shared" si="25"/>
        <v>5446.4491399431381</v>
      </c>
      <c r="U50" s="26">
        <f t="shared" si="17"/>
        <v>116755</v>
      </c>
      <c r="V50" s="26">
        <f t="shared" si="10"/>
        <v>116936.04540077373</v>
      </c>
      <c r="W50" s="3">
        <f t="shared" si="11"/>
        <v>16020.87937809906</v>
      </c>
      <c r="X50" s="16">
        <f t="shared" si="12"/>
        <v>11638.888888888891</v>
      </c>
      <c r="Y50" s="16">
        <f t="shared" si="13"/>
        <v>36.209080154746623</v>
      </c>
      <c r="Z50" s="26">
        <f t="shared" si="14"/>
        <v>89095.231733012057</v>
      </c>
      <c r="AA50" s="26">
        <f t="shared" si="15"/>
        <v>89240.068053631025</v>
      </c>
      <c r="AB50" s="16">
        <f t="shared" si="18"/>
        <v>181.04540077373312</v>
      </c>
    </row>
    <row r="51" spans="7:28" x14ac:dyDescent="0.25">
      <c r="G51">
        <v>42</v>
      </c>
      <c r="H51" s="21">
        <v>45108</v>
      </c>
      <c r="I51" s="16">
        <f t="shared" si="19"/>
        <v>31668.296570773844</v>
      </c>
      <c r="J51" s="16">
        <f t="shared" si="20"/>
        <v>6333.6593141547692</v>
      </c>
      <c r="K51" s="16">
        <f t="shared" si="21"/>
        <v>78753.044115071389</v>
      </c>
      <c r="L51" s="26">
        <f t="shared" si="22"/>
        <v>116755</v>
      </c>
      <c r="M51" s="26">
        <f t="shared" si="4"/>
        <v>116932.99118384795</v>
      </c>
      <c r="N51" s="16">
        <f t="shared" si="23"/>
        <v>2097892.250290364</v>
      </c>
      <c r="O51" s="16"/>
      <c r="P51" s="16">
        <f t="shared" si="6"/>
        <v>45240.423672533943</v>
      </c>
      <c r="Q51" s="16">
        <f t="shared" si="24"/>
        <v>93753.62394651366</v>
      </c>
      <c r="R51" s="16">
        <f t="shared" si="7"/>
        <v>2497490.7741551977</v>
      </c>
      <c r="S51" s="26">
        <f t="shared" si="8"/>
        <v>138994.0476190476</v>
      </c>
      <c r="T51" s="16">
        <f t="shared" si="25"/>
        <v>5354.5681140922261</v>
      </c>
      <c r="U51" s="26">
        <f t="shared" si="17"/>
        <v>116755</v>
      </c>
      <c r="V51" s="26">
        <f t="shared" si="10"/>
        <v>116932.99118384795</v>
      </c>
      <c r="W51" s="3">
        <f t="shared" si="11"/>
        <v>15750.608823014278</v>
      </c>
      <c r="X51" s="16">
        <f t="shared" si="12"/>
        <v>11638.888888888891</v>
      </c>
      <c r="Y51" s="16">
        <f t="shared" si="13"/>
        <v>35.598236769588205</v>
      </c>
      <c r="Z51" s="26">
        <f t="shared" si="14"/>
        <v>89365.502288096832</v>
      </c>
      <c r="AA51" s="26">
        <f t="shared" si="15"/>
        <v>89507.895235175194</v>
      </c>
      <c r="AB51" s="16">
        <f t="shared" si="18"/>
        <v>177.99118384794102</v>
      </c>
    </row>
    <row r="52" spans="7:28" x14ac:dyDescent="0.25">
      <c r="G52">
        <v>43</v>
      </c>
      <c r="H52" s="21">
        <v>45139</v>
      </c>
      <c r="I52" s="16">
        <f t="shared" si="19"/>
        <v>32835.945581514512</v>
      </c>
      <c r="J52" s="16">
        <f t="shared" si="20"/>
        <v>6567.1891163029031</v>
      </c>
      <c r="K52" s="16">
        <f t="shared" si="21"/>
        <v>77351.865302182588</v>
      </c>
      <c r="L52" s="26">
        <f t="shared" si="22"/>
        <v>116755</v>
      </c>
      <c r="M52" s="26">
        <f t="shared" si="4"/>
        <v>116929.82435419086</v>
      </c>
      <c r="N52" s="16">
        <f t="shared" si="23"/>
        <v>2058489.1155925465</v>
      </c>
      <c r="O52" s="16"/>
      <c r="P52" s="16">
        <f t="shared" si="6"/>
        <v>46908.493687877766</v>
      </c>
      <c r="Q52" s="16">
        <f t="shared" si="24"/>
        <v>92085.553931169838</v>
      </c>
      <c r="R52" s="16">
        <f t="shared" si="7"/>
        <v>2450582.2804673198</v>
      </c>
      <c r="S52" s="26">
        <f t="shared" si="8"/>
        <v>138994.0476190476</v>
      </c>
      <c r="T52" s="16">
        <f t="shared" si="25"/>
        <v>5259.2993219084819</v>
      </c>
      <c r="U52" s="26">
        <f t="shared" si="17"/>
        <v>116755</v>
      </c>
      <c r="V52" s="26">
        <f t="shared" si="10"/>
        <v>116929.82435419086</v>
      </c>
      <c r="W52" s="3">
        <f t="shared" si="11"/>
        <v>15470.373060436519</v>
      </c>
      <c r="X52" s="16">
        <f t="shared" si="12"/>
        <v>11638.888888888891</v>
      </c>
      <c r="Y52" s="16">
        <f t="shared" si="13"/>
        <v>34.964870838172736</v>
      </c>
      <c r="Z52" s="26">
        <f t="shared" si="14"/>
        <v>89645.738050674598</v>
      </c>
      <c r="AA52" s="26">
        <f t="shared" si="15"/>
        <v>89785.597534027271</v>
      </c>
      <c r="AB52" s="16">
        <f t="shared" si="18"/>
        <v>174.82435419086366</v>
      </c>
    </row>
    <row r="53" spans="7:28" x14ac:dyDescent="0.25">
      <c r="G53">
        <v>44</v>
      </c>
      <c r="H53" s="21">
        <v>45170</v>
      </c>
      <c r="I53" s="16">
        <f t="shared" si="19"/>
        <v>34046.647246168432</v>
      </c>
      <c r="J53" s="16">
        <f t="shared" si="20"/>
        <v>6809.3294492336863</v>
      </c>
      <c r="K53" s="16">
        <f t="shared" si="21"/>
        <v>75899.023304597882</v>
      </c>
      <c r="L53" s="26">
        <f t="shared" si="22"/>
        <v>116755</v>
      </c>
      <c r="M53" s="26">
        <f t="shared" si="4"/>
        <v>116926.54075963271</v>
      </c>
      <c r="N53" s="16">
        <f t="shared" si="23"/>
        <v>2017633.1388971445</v>
      </c>
      <c r="O53" s="16"/>
      <c r="P53" s="16">
        <f t="shared" si="6"/>
        <v>48638.067494526229</v>
      </c>
      <c r="Q53" s="16">
        <f t="shared" si="24"/>
        <v>90355.980124521375</v>
      </c>
      <c r="R53" s="16">
        <f t="shared" si="7"/>
        <v>2401944.2129727937</v>
      </c>
      <c r="S53" s="26">
        <f t="shared" si="8"/>
        <v>138994.0476190476</v>
      </c>
      <c r="T53" s="16">
        <f t="shared" si="25"/>
        <v>5160.5178522840924</v>
      </c>
      <c r="U53" s="26">
        <f t="shared" si="17"/>
        <v>116755</v>
      </c>
      <c r="V53" s="26">
        <f t="shared" si="10"/>
        <v>116926.54075963271</v>
      </c>
      <c r="W53" s="3">
        <f t="shared" si="11"/>
        <v>15179.804660919577</v>
      </c>
      <c r="X53" s="16">
        <f t="shared" si="12"/>
        <v>11638.888888888891</v>
      </c>
      <c r="Y53" s="16">
        <f t="shared" si="13"/>
        <v>34.308151926542443</v>
      </c>
      <c r="Z53" s="26">
        <f t="shared" si="14"/>
        <v>89936.306450191536</v>
      </c>
      <c r="AA53" s="26">
        <f t="shared" si="15"/>
        <v>90073.539057897709</v>
      </c>
      <c r="AB53" s="16">
        <f t="shared" si="18"/>
        <v>171.5407596327122</v>
      </c>
    </row>
    <row r="54" spans="7:28" x14ac:dyDescent="0.25">
      <c r="G54">
        <v>45</v>
      </c>
      <c r="H54" s="21">
        <v>45200</v>
      </c>
      <c r="I54" s="16">
        <f t="shared" si="19"/>
        <v>35301.988968991442</v>
      </c>
      <c r="J54" s="16">
        <f t="shared" si="20"/>
        <v>7060.3977937982891</v>
      </c>
      <c r="K54" s="16">
        <f t="shared" si="21"/>
        <v>74392.613237210273</v>
      </c>
      <c r="L54" s="26">
        <f t="shared" si="22"/>
        <v>116755</v>
      </c>
      <c r="M54" s="26">
        <f t="shared" si="4"/>
        <v>116923.1360949081</v>
      </c>
      <c r="N54" s="16">
        <f t="shared" si="23"/>
        <v>1975270.7521343548</v>
      </c>
      <c r="O54" s="16"/>
      <c r="P54" s="16">
        <f t="shared" si="6"/>
        <v>50431.412812844806</v>
      </c>
      <c r="Q54" s="16">
        <f t="shared" si="24"/>
        <v>88562.634806202797</v>
      </c>
      <c r="R54" s="16">
        <f t="shared" si="7"/>
        <v>2351512.8001599489</v>
      </c>
      <c r="S54" s="26">
        <f t="shared" si="8"/>
        <v>138994.0476190476</v>
      </c>
      <c r="T54" s="16">
        <f t="shared" si="25"/>
        <v>5058.0941884852027</v>
      </c>
      <c r="U54" s="26">
        <f t="shared" si="17"/>
        <v>116755</v>
      </c>
      <c r="V54" s="26">
        <f t="shared" si="10"/>
        <v>116923.1360949081</v>
      </c>
      <c r="W54" s="3">
        <f t="shared" si="11"/>
        <v>14878.522647442056</v>
      </c>
      <c r="X54" s="16">
        <f t="shared" si="12"/>
        <v>11638.888888888891</v>
      </c>
      <c r="Y54" s="16">
        <f t="shared" si="13"/>
        <v>33.627218981619073</v>
      </c>
      <c r="Z54" s="26">
        <f t="shared" si="14"/>
        <v>90237.588463669046</v>
      </c>
      <c r="AA54" s="26">
        <f t="shared" si="15"/>
        <v>90372.097339595522</v>
      </c>
      <c r="AB54" s="16">
        <f t="shared" si="18"/>
        <v>168.13609490809537</v>
      </c>
    </row>
    <row r="55" spans="7:28" x14ac:dyDescent="0.25">
      <c r="G55">
        <v>46</v>
      </c>
      <c r="H55" s="21">
        <v>45231</v>
      </c>
      <c r="I55" s="16">
        <f t="shared" si="19"/>
        <v>36603.616683784996</v>
      </c>
      <c r="J55" s="16">
        <f t="shared" si="20"/>
        <v>7320.7233367569997</v>
      </c>
      <c r="K55" s="16">
        <f t="shared" si="21"/>
        <v>72830.659979458011</v>
      </c>
      <c r="L55" s="26">
        <f t="shared" si="22"/>
        <v>116755</v>
      </c>
      <c r="M55" s="26">
        <f t="shared" si="4"/>
        <v>116919.6058960112</v>
      </c>
      <c r="N55" s="16">
        <f t="shared" si="23"/>
        <v>1931346.4121138128</v>
      </c>
      <c r="O55" s="16"/>
      <c r="P55" s="16">
        <f t="shared" si="6"/>
        <v>52290.8809768356</v>
      </c>
      <c r="Q55" s="16">
        <f t="shared" si="24"/>
        <v>86703.166642212003</v>
      </c>
      <c r="R55" s="16">
        <f t="shared" si="7"/>
        <v>2299221.9191831131</v>
      </c>
      <c r="S55" s="26">
        <f t="shared" si="8"/>
        <v>138994.0476190476</v>
      </c>
      <c r="T55" s="16">
        <f t="shared" si="25"/>
        <v>4951.8940383368199</v>
      </c>
      <c r="U55" s="26">
        <f t="shared" si="17"/>
        <v>116755</v>
      </c>
      <c r="V55" s="26">
        <f t="shared" si="10"/>
        <v>116919.6058960112</v>
      </c>
      <c r="W55" s="3">
        <f t="shared" si="11"/>
        <v>14566.131995891603</v>
      </c>
      <c r="X55" s="16">
        <f t="shared" si="12"/>
        <v>11638.888888888891</v>
      </c>
      <c r="Y55" s="16">
        <f t="shared" si="13"/>
        <v>32.921179202239244</v>
      </c>
      <c r="Z55" s="26">
        <f t="shared" si="14"/>
        <v>90549.97911521951</v>
      </c>
      <c r="AA55" s="26">
        <f t="shared" si="15"/>
        <v>90681.663832028469</v>
      </c>
      <c r="AB55" s="16">
        <f t="shared" si="18"/>
        <v>164.60589601119622</v>
      </c>
    </row>
    <row r="56" spans="7:28" x14ac:dyDescent="0.25">
      <c r="G56">
        <v>47</v>
      </c>
      <c r="H56" s="21">
        <v>45261</v>
      </c>
      <c r="I56" s="16">
        <f t="shared" si="19"/>
        <v>37953.237011952471</v>
      </c>
      <c r="J56" s="16">
        <f t="shared" si="20"/>
        <v>7590.6474023904948</v>
      </c>
      <c r="K56" s="16">
        <f t="shared" si="21"/>
        <v>71211.11558565704</v>
      </c>
      <c r="L56" s="26">
        <f t="shared" si="22"/>
        <v>116755</v>
      </c>
      <c r="M56" s="26">
        <f t="shared" si="4"/>
        <v>116915.94553434281</v>
      </c>
      <c r="N56" s="16">
        <f t="shared" si="23"/>
        <v>1885802.5276994696</v>
      </c>
      <c r="O56" s="16"/>
      <c r="P56" s="16">
        <f t="shared" si="6"/>
        <v>54218.910017074828</v>
      </c>
      <c r="Q56" s="16">
        <f t="shared" si="24"/>
        <v>84775.137601972776</v>
      </c>
      <c r="R56" s="16">
        <f t="shared" si="7"/>
        <v>2245003.0091660381</v>
      </c>
      <c r="S56" s="26">
        <f t="shared" si="8"/>
        <v>138994.0476190476</v>
      </c>
      <c r="T56" s="16">
        <f t="shared" si="25"/>
        <v>4841.7781581464333</v>
      </c>
      <c r="U56" s="26">
        <f t="shared" si="17"/>
        <v>116755</v>
      </c>
      <c r="V56" s="26">
        <f t="shared" si="10"/>
        <v>116915.94553434281</v>
      </c>
      <c r="W56" s="3">
        <f t="shared" si="11"/>
        <v>14242.223117131409</v>
      </c>
      <c r="X56" s="16">
        <f t="shared" si="12"/>
        <v>11638.888888888891</v>
      </c>
      <c r="Y56" s="16">
        <f t="shared" si="13"/>
        <v>32.189106868563549</v>
      </c>
      <c r="Z56" s="26">
        <f t="shared" si="14"/>
        <v>90873.887993979704</v>
      </c>
      <c r="AA56" s="26">
        <f t="shared" si="15"/>
        <v>91002.644421453952</v>
      </c>
      <c r="AB56" s="16">
        <f t="shared" si="18"/>
        <v>160.94553434281772</v>
      </c>
    </row>
    <row r="57" spans="7:28" x14ac:dyDescent="0.25">
      <c r="G57">
        <v>48</v>
      </c>
      <c r="H57" s="21">
        <v>45292</v>
      </c>
      <c r="I57" s="16">
        <f t="shared" si="19"/>
        <v>39352.619500125547</v>
      </c>
      <c r="J57" s="16">
        <f t="shared" si="20"/>
        <v>7870.5239000251095</v>
      </c>
      <c r="K57" s="16">
        <f t="shared" si="21"/>
        <v>69531.856599849343</v>
      </c>
      <c r="L57" s="26">
        <f t="shared" si="22"/>
        <v>116755</v>
      </c>
      <c r="M57" s="26">
        <f t="shared" si="4"/>
        <v>116912.15021064162</v>
      </c>
      <c r="N57" s="16">
        <f t="shared" si="23"/>
        <v>1838579.384299319</v>
      </c>
      <c r="O57" s="16"/>
      <c r="P57" s="16">
        <f t="shared" si="6"/>
        <v>56218.0278573221</v>
      </c>
      <c r="Q57" s="16">
        <f t="shared" si="24"/>
        <v>82776.019761725503</v>
      </c>
      <c r="R57" s="16">
        <f t="shared" si="7"/>
        <v>2188784.9813087159</v>
      </c>
      <c r="S57" s="26">
        <f t="shared" si="8"/>
        <v>138994.0476190476</v>
      </c>
      <c r="T57" s="16">
        <f t="shared" si="25"/>
        <v>4727.6021701354757</v>
      </c>
      <c r="U57" s="26">
        <f t="shared" si="17"/>
        <v>116755</v>
      </c>
      <c r="V57" s="26">
        <f t="shared" si="10"/>
        <v>116912.15021064162</v>
      </c>
      <c r="W57" s="3">
        <f t="shared" si="11"/>
        <v>13906.371319969869</v>
      </c>
      <c r="X57" s="16">
        <f t="shared" si="12"/>
        <v>11638.888888888891</v>
      </c>
      <c r="Y57" s="16">
        <f t="shared" si="13"/>
        <v>31.430042128324494</v>
      </c>
      <c r="Z57" s="26">
        <f t="shared" si="14"/>
        <v>91209.739791141241</v>
      </c>
      <c r="AA57" s="26">
        <f t="shared" si="15"/>
        <v>91335.45995965453</v>
      </c>
      <c r="AB57" s="16">
        <f t="shared" si="18"/>
        <v>157.15021064162246</v>
      </c>
    </row>
    <row r="58" spans="7:28" x14ac:dyDescent="0.25">
      <c r="G58">
        <v>49</v>
      </c>
      <c r="H58" s="21">
        <v>45323</v>
      </c>
      <c r="I58" s="16">
        <f t="shared" si="19"/>
        <v>40803.598940294825</v>
      </c>
      <c r="J58" s="16">
        <f t="shared" si="20"/>
        <v>8160.7197880589656</v>
      </c>
      <c r="K58" s="16">
        <f t="shared" si="21"/>
        <v>67790.681271646215</v>
      </c>
      <c r="L58" s="26">
        <f t="shared" si="22"/>
        <v>116755</v>
      </c>
      <c r="M58" s="26">
        <f t="shared" si="4"/>
        <v>116908.21494869162</v>
      </c>
      <c r="N58" s="16">
        <f t="shared" si="23"/>
        <v>1789615.0655709652</v>
      </c>
      <c r="O58" s="16"/>
      <c r="P58" s="16">
        <f t="shared" si="6"/>
        <v>58290.855628992475</v>
      </c>
      <c r="Q58" s="16">
        <f t="shared" si="24"/>
        <v>80703.191990055129</v>
      </c>
      <c r="R58" s="16">
        <f t="shared" si="7"/>
        <v>2130494.1256797235</v>
      </c>
      <c r="S58" s="26">
        <f t="shared" si="8"/>
        <v>138994.0476190476</v>
      </c>
      <c r="T58" s="16">
        <f t="shared" si="25"/>
        <v>4609.2163731392648</v>
      </c>
      <c r="U58" s="26">
        <f t="shared" si="17"/>
        <v>116755</v>
      </c>
      <c r="V58" s="26">
        <f t="shared" si="10"/>
        <v>116908.21494869162</v>
      </c>
      <c r="W58" s="3">
        <f t="shared" si="11"/>
        <v>13558.136254329243</v>
      </c>
      <c r="X58" s="16">
        <f t="shared" si="12"/>
        <v>11638.888888888891</v>
      </c>
      <c r="Y58" s="16">
        <f t="shared" si="13"/>
        <v>30.642989738321987</v>
      </c>
      <c r="Z58" s="26">
        <f t="shared" si="14"/>
        <v>91557.974856781861</v>
      </c>
      <c r="AA58" s="26">
        <f t="shared" si="15"/>
        <v>91680.546815735157</v>
      </c>
      <c r="AB58" s="16">
        <f t="shared" si="18"/>
        <v>153.21494869160992</v>
      </c>
    </row>
    <row r="59" spans="7:28" x14ac:dyDescent="0.25">
      <c r="G59">
        <v>50</v>
      </c>
      <c r="H59" s="21">
        <v>45352</v>
      </c>
      <c r="I59" s="16">
        <f t="shared" si="19"/>
        <v>42308.07777548625</v>
      </c>
      <c r="J59" s="16">
        <f t="shared" si="20"/>
        <v>8461.6155550972508</v>
      </c>
      <c r="K59" s="16">
        <f t="shared" si="21"/>
        <v>65985.306669416503</v>
      </c>
      <c r="L59" s="26">
        <f t="shared" si="22"/>
        <v>116755</v>
      </c>
      <c r="M59" s="26">
        <f t="shared" si="4"/>
        <v>116904.13458879758</v>
      </c>
      <c r="N59" s="16">
        <f t="shared" si="23"/>
        <v>1738845.3722403815</v>
      </c>
      <c r="O59" s="16"/>
      <c r="P59" s="16">
        <f t="shared" si="6"/>
        <v>60440.111107837365</v>
      </c>
      <c r="Q59" s="16">
        <f t="shared" si="24"/>
        <v>78553.936511210239</v>
      </c>
      <c r="R59" s="16">
        <f t="shared" si="7"/>
        <v>2070054.014571886</v>
      </c>
      <c r="S59" s="26">
        <f t="shared" si="8"/>
        <v>138994.0476190476</v>
      </c>
      <c r="T59" s="16">
        <f t="shared" si="25"/>
        <v>4486.4655463272111</v>
      </c>
      <c r="U59" s="26">
        <f t="shared" si="17"/>
        <v>116755</v>
      </c>
      <c r="V59" s="26">
        <f t="shared" si="10"/>
        <v>116904.13458879758</v>
      </c>
      <c r="W59" s="3">
        <f t="shared" si="11"/>
        <v>13197.061333883301</v>
      </c>
      <c r="X59" s="16">
        <f t="shared" si="12"/>
        <v>11638.888888888891</v>
      </c>
      <c r="Y59" s="16">
        <f t="shared" si="13"/>
        <v>29.826917759516085</v>
      </c>
      <c r="Z59" s="26">
        <f t="shared" si="14"/>
        <v>91919.049777227803</v>
      </c>
      <c r="AA59" s="26">
        <f t="shared" si="15"/>
        <v>92038.357448265859</v>
      </c>
      <c r="AB59" s="16">
        <f t="shared" si="18"/>
        <v>149.13458879758042</v>
      </c>
    </row>
    <row r="60" spans="7:28" x14ac:dyDescent="0.25">
      <c r="G60">
        <v>51</v>
      </c>
      <c r="H60" s="21">
        <v>45383</v>
      </c>
      <c r="I60" s="16">
        <f t="shared" si="19"/>
        <v>43868.028594138028</v>
      </c>
      <c r="J60" s="16">
        <f t="shared" si="20"/>
        <v>8773.6057188276063</v>
      </c>
      <c r="K60" s="16">
        <f t="shared" si="21"/>
        <v>64113.365687034369</v>
      </c>
      <c r="L60" s="26">
        <f t="shared" si="22"/>
        <v>116755</v>
      </c>
      <c r="M60" s="26">
        <f t="shared" si="4"/>
        <v>116899.90378102004</v>
      </c>
      <c r="N60" s="16">
        <f t="shared" si="23"/>
        <v>1686203.7379274159</v>
      </c>
      <c r="O60" s="16"/>
      <c r="P60" s="16">
        <f t="shared" si="6"/>
        <v>62668.612277339897</v>
      </c>
      <c r="Q60" s="16">
        <f t="shared" si="24"/>
        <v>76325.435341707707</v>
      </c>
      <c r="R60" s="16">
        <f t="shared" si="7"/>
        <v>2007385.4022945461</v>
      </c>
      <c r="S60" s="26">
        <f t="shared" si="8"/>
        <v>138994.0476190476</v>
      </c>
      <c r="T60" s="16">
        <f t="shared" si="25"/>
        <v>4359.1887456859567</v>
      </c>
      <c r="U60" s="26">
        <f t="shared" si="17"/>
        <v>116755</v>
      </c>
      <c r="V60" s="26">
        <f t="shared" si="10"/>
        <v>116899.90378102004</v>
      </c>
      <c r="W60" s="3">
        <f t="shared" si="11"/>
        <v>12822.673137406875</v>
      </c>
      <c r="X60" s="16">
        <f t="shared" si="12"/>
        <v>11638.888888888891</v>
      </c>
      <c r="Y60" s="16">
        <f t="shared" si="13"/>
        <v>28.980756204006362</v>
      </c>
      <c r="Z60" s="26">
        <f t="shared" si="14"/>
        <v>92293.437973704233</v>
      </c>
      <c r="AA60" s="26">
        <f t="shared" si="15"/>
        <v>92409.360998520264</v>
      </c>
      <c r="AB60" s="16">
        <f t="shared" si="18"/>
        <v>144.9037810200318</v>
      </c>
    </row>
    <row r="61" spans="7:28" x14ac:dyDescent="0.25">
      <c r="G61">
        <v>52</v>
      </c>
      <c r="H61" s="21">
        <v>45413</v>
      </c>
      <c r="I61" s="16">
        <f t="shared" si="19"/>
        <v>45485.496716448128</v>
      </c>
      <c r="J61" s="16">
        <f t="shared" si="20"/>
        <v>9097.0993432896266</v>
      </c>
      <c r="K61" s="16">
        <f t="shared" si="21"/>
        <v>62172.403940262251</v>
      </c>
      <c r="L61" s="26">
        <f t="shared" si="22"/>
        <v>116755</v>
      </c>
      <c r="M61" s="26">
        <f t="shared" si="4"/>
        <v>116895.51697816062</v>
      </c>
      <c r="N61" s="16">
        <f t="shared" si="23"/>
        <v>1631621.1418676781</v>
      </c>
      <c r="O61" s="16"/>
      <c r="P61" s="16">
        <f t="shared" si="6"/>
        <v>64979.281023497184</v>
      </c>
      <c r="Q61" s="16">
        <f t="shared" si="24"/>
        <v>74014.76659555042</v>
      </c>
      <c r="R61" s="16">
        <f t="shared" si="7"/>
        <v>1942406.1212710489</v>
      </c>
      <c r="S61" s="26">
        <f t="shared" si="8"/>
        <v>138994.0476190476</v>
      </c>
      <c r="T61" s="16">
        <f t="shared" si="25"/>
        <v>4227.2190929985909</v>
      </c>
      <c r="U61" s="26">
        <f t="shared" si="17"/>
        <v>116755</v>
      </c>
      <c r="V61" s="26">
        <f t="shared" si="10"/>
        <v>116895.51697816062</v>
      </c>
      <c r="W61" s="3">
        <f t="shared" si="11"/>
        <v>12434.480788052451</v>
      </c>
      <c r="X61" s="16">
        <f t="shared" si="12"/>
        <v>11638.888888888891</v>
      </c>
      <c r="Y61" s="16">
        <f t="shared" si="13"/>
        <v>28.103395632123597</v>
      </c>
      <c r="Z61" s="26">
        <f t="shared" si="14"/>
        <v>92681.630323058664</v>
      </c>
      <c r="AA61" s="26">
        <f t="shared" si="15"/>
        <v>92794.043905587168</v>
      </c>
      <c r="AB61" s="16">
        <f t="shared" si="18"/>
        <v>140.51697816061798</v>
      </c>
    </row>
    <row r="62" spans="7:28" x14ac:dyDescent="0.25">
      <c r="G62">
        <v>53</v>
      </c>
      <c r="H62" s="21">
        <v>45444</v>
      </c>
      <c r="I62" s="16">
        <f t="shared" si="19"/>
        <v>47162.602876083634</v>
      </c>
      <c r="J62" s="16">
        <f t="shared" si="20"/>
        <v>9432.5205752167276</v>
      </c>
      <c r="K62" s="16">
        <f t="shared" si="21"/>
        <v>60159.876548699642</v>
      </c>
      <c r="L62" s="26">
        <f t="shared" si="22"/>
        <v>116755</v>
      </c>
      <c r="M62" s="26">
        <f t="shared" si="4"/>
        <v>116890.96842848897</v>
      </c>
      <c r="N62" s="16">
        <f t="shared" si="23"/>
        <v>1575026.0184163777</v>
      </c>
      <c r="O62" s="16"/>
      <c r="P62" s="16">
        <f t="shared" si="6"/>
        <v>67375.146965833614</v>
      </c>
      <c r="Q62" s="16">
        <f t="shared" si="24"/>
        <v>71618.90065321399</v>
      </c>
      <c r="R62" s="16">
        <f t="shared" si="7"/>
        <v>1875030.9743052153</v>
      </c>
      <c r="S62" s="26">
        <f t="shared" si="8"/>
        <v>138994.0476190476</v>
      </c>
      <c r="T62" s="16">
        <f t="shared" si="25"/>
        <v>4090.3835570432766</v>
      </c>
      <c r="U62" s="26">
        <f t="shared" si="17"/>
        <v>116755</v>
      </c>
      <c r="V62" s="26">
        <f t="shared" si="10"/>
        <v>116890.96842848897</v>
      </c>
      <c r="W62" s="3">
        <f t="shared" si="11"/>
        <v>12031.97530973993</v>
      </c>
      <c r="X62" s="16">
        <f t="shared" si="12"/>
        <v>11638.888888888891</v>
      </c>
      <c r="Y62" s="16">
        <f t="shared" si="13"/>
        <v>27.193685697794638</v>
      </c>
      <c r="Z62" s="26">
        <f t="shared" si="14"/>
        <v>93084.135801371172</v>
      </c>
      <c r="AA62" s="26">
        <f t="shared" si="15"/>
        <v>93192.910544162354</v>
      </c>
      <c r="AB62" s="16">
        <f t="shared" si="18"/>
        <v>135.96842848897319</v>
      </c>
    </row>
    <row r="63" spans="7:28" x14ac:dyDescent="0.25">
      <c r="G63">
        <v>54</v>
      </c>
      <c r="H63" s="21">
        <v>45474</v>
      </c>
      <c r="I63" s="16">
        <f t="shared" si="19"/>
        <v>48901.546000768052</v>
      </c>
      <c r="J63" s="16">
        <f t="shared" si="20"/>
        <v>9780.3092001536115</v>
      </c>
      <c r="K63" s="16">
        <f t="shared" si="21"/>
        <v>58073.144799078342</v>
      </c>
      <c r="L63" s="26">
        <f t="shared" si="22"/>
        <v>116755</v>
      </c>
      <c r="M63" s="26">
        <f t="shared" si="4"/>
        <v>116886.25216820136</v>
      </c>
      <c r="N63" s="16">
        <f t="shared" si="23"/>
        <v>1516344.1632154561</v>
      </c>
      <c r="O63" s="16"/>
      <c r="P63" s="16">
        <f t="shared" si="6"/>
        <v>69859.351429668488</v>
      </c>
      <c r="Q63" s="16">
        <f t="shared" si="24"/>
        <v>69134.696189379116</v>
      </c>
      <c r="R63" s="16">
        <f t="shared" si="7"/>
        <v>1805171.6228755468</v>
      </c>
      <c r="S63" s="26">
        <f t="shared" si="8"/>
        <v>138994.0476190476</v>
      </c>
      <c r="T63" s="16">
        <f t="shared" si="25"/>
        <v>3948.5027267243913</v>
      </c>
      <c r="U63" s="26">
        <f t="shared" si="17"/>
        <v>116755</v>
      </c>
      <c r="V63" s="26">
        <f t="shared" si="10"/>
        <v>116886.25216820136</v>
      </c>
      <c r="W63" s="3">
        <f t="shared" si="11"/>
        <v>11614.628959815669</v>
      </c>
      <c r="X63" s="16">
        <f t="shared" si="12"/>
        <v>11638.888888888891</v>
      </c>
      <c r="Y63" s="16">
        <f t="shared" si="13"/>
        <v>26.250433640272963</v>
      </c>
      <c r="Z63" s="26">
        <f t="shared" si="14"/>
        <v>93501.482151295437</v>
      </c>
      <c r="AA63" s="26">
        <f t="shared" si="15"/>
        <v>93606.48388585652</v>
      </c>
      <c r="AB63" s="16">
        <f t="shared" si="18"/>
        <v>131.25216820136481</v>
      </c>
    </row>
    <row r="64" spans="7:28" x14ac:dyDescent="0.25">
      <c r="G64">
        <v>55</v>
      </c>
      <c r="H64" s="21">
        <v>45505</v>
      </c>
      <c r="I64" s="16">
        <f t="shared" si="19"/>
        <v>50704.606095392242</v>
      </c>
      <c r="J64" s="16">
        <f t="shared" si="20"/>
        <v>10140.921219078449</v>
      </c>
      <c r="K64" s="16">
        <f t="shared" si="21"/>
        <v>55909.472685529312</v>
      </c>
      <c r="L64" s="26">
        <f t="shared" si="22"/>
        <v>116755</v>
      </c>
      <c r="M64" s="26">
        <f t="shared" si="4"/>
        <v>116881.36201360129</v>
      </c>
      <c r="N64" s="16">
        <f t="shared" si="23"/>
        <v>1455498.6359009854</v>
      </c>
      <c r="O64" s="16"/>
      <c r="P64" s="16">
        <f t="shared" si="6"/>
        <v>72435.151564845903</v>
      </c>
      <c r="Q64" s="16">
        <f t="shared" si="24"/>
        <v>66558.896054201701</v>
      </c>
      <c r="R64" s="16">
        <f t="shared" si="7"/>
        <v>1732736.471310701</v>
      </c>
      <c r="S64" s="26">
        <f t="shared" si="8"/>
        <v>138994.0476190476</v>
      </c>
      <c r="T64" s="16">
        <f t="shared" si="25"/>
        <v>3801.3905758387477</v>
      </c>
      <c r="U64" s="26">
        <f t="shared" si="17"/>
        <v>116755</v>
      </c>
      <c r="V64" s="26">
        <f t="shared" si="10"/>
        <v>116881.36201360129</v>
      </c>
      <c r="W64" s="3">
        <f t="shared" si="11"/>
        <v>11181.894537105863</v>
      </c>
      <c r="X64" s="16">
        <f t="shared" si="12"/>
        <v>11638.888888888891</v>
      </c>
      <c r="Y64" s="16">
        <f t="shared" si="13"/>
        <v>25.272402720257602</v>
      </c>
      <c r="Z64" s="26">
        <f t="shared" si="14"/>
        <v>93934.216574005244</v>
      </c>
      <c r="AA64" s="26">
        <f t="shared" si="15"/>
        <v>94035.306184886271</v>
      </c>
      <c r="AB64" s="16">
        <f t="shared" si="18"/>
        <v>126.362013601288</v>
      </c>
    </row>
    <row r="65" spans="7:28" x14ac:dyDescent="0.25">
      <c r="G65">
        <v>56</v>
      </c>
      <c r="H65" s="21">
        <v>45536</v>
      </c>
      <c r="I65" s="16">
        <f t="shared" si="19"/>
        <v>52574.147231429211</v>
      </c>
      <c r="J65" s="16">
        <f t="shared" si="20"/>
        <v>10514.829446285843</v>
      </c>
      <c r="K65" s="16">
        <f t="shared" si="21"/>
        <v>53666.023322284949</v>
      </c>
      <c r="L65" s="26">
        <f t="shared" si="22"/>
        <v>116755</v>
      </c>
      <c r="M65" s="26">
        <f t="shared" si="4"/>
        <v>116876.29155299175</v>
      </c>
      <c r="N65" s="16">
        <f t="shared" si="23"/>
        <v>1392409.6592232706</v>
      </c>
      <c r="O65" s="16"/>
      <c r="P65" s="16">
        <f t="shared" si="6"/>
        <v>75105.924616327276</v>
      </c>
      <c r="Q65" s="16">
        <f t="shared" si="24"/>
        <v>63888.123002720327</v>
      </c>
      <c r="R65" s="16">
        <f t="shared" si="7"/>
        <v>1657630.5466943737</v>
      </c>
      <c r="S65" s="26">
        <f t="shared" si="8"/>
        <v>138994.0476190476</v>
      </c>
      <c r="T65" s="16">
        <f t="shared" si="25"/>
        <v>3648.8542191684428</v>
      </c>
      <c r="U65" s="26">
        <f t="shared" si="17"/>
        <v>116755</v>
      </c>
      <c r="V65" s="26">
        <f t="shared" si="10"/>
        <v>116876.29155299175</v>
      </c>
      <c r="W65" s="3">
        <f t="shared" si="11"/>
        <v>10733.204664456991</v>
      </c>
      <c r="X65" s="16">
        <f t="shared" si="12"/>
        <v>11638.888888888891</v>
      </c>
      <c r="Y65" s="16">
        <f t="shared" si="13"/>
        <v>24.258310598349759</v>
      </c>
      <c r="Z65" s="26">
        <f t="shared" si="14"/>
        <v>94382.906446654117</v>
      </c>
      <c r="AA65" s="26">
        <f t="shared" si="15"/>
        <v>94479.939689047518</v>
      </c>
      <c r="AB65" s="16">
        <f t="shared" si="18"/>
        <v>121.29155299174879</v>
      </c>
    </row>
    <row r="66" spans="7:28" x14ac:dyDescent="0.25">
      <c r="G66">
        <v>57</v>
      </c>
      <c r="H66" s="21">
        <v>45566</v>
      </c>
      <c r="I66" s="16">
        <f t="shared" si="19"/>
        <v>54512.620646572315</v>
      </c>
      <c r="J66" s="16">
        <f t="shared" si="20"/>
        <v>10902.524129314465</v>
      </c>
      <c r="K66" s="16">
        <f t="shared" si="21"/>
        <v>51339.855224113227</v>
      </c>
      <c r="L66" s="26">
        <f t="shared" si="22"/>
        <v>116755</v>
      </c>
      <c r="M66" s="26">
        <f t="shared" si="4"/>
        <v>116871.0341382686</v>
      </c>
      <c r="N66" s="16">
        <f t="shared" si="23"/>
        <v>1326994.514447384</v>
      </c>
      <c r="O66" s="16"/>
      <c r="P66" s="16">
        <f t="shared" si="6"/>
        <v>77875.172352246009</v>
      </c>
      <c r="Q66" s="16">
        <f t="shared" si="24"/>
        <v>61118.875266801602</v>
      </c>
      <c r="R66" s="16">
        <f t="shared" si="7"/>
        <v>1579755.3743421277</v>
      </c>
      <c r="S66" s="26">
        <f t="shared" si="8"/>
        <v>138994.0476190476</v>
      </c>
      <c r="T66" s="16">
        <f t="shared" si="25"/>
        <v>3490.6936595805601</v>
      </c>
      <c r="U66" s="26">
        <f t="shared" si="17"/>
        <v>116755</v>
      </c>
      <c r="V66" s="26">
        <f t="shared" si="10"/>
        <v>116871.0341382686</v>
      </c>
      <c r="W66" s="3">
        <f t="shared" si="11"/>
        <v>10267.971044822647</v>
      </c>
      <c r="X66" s="16">
        <f t="shared" si="12"/>
        <v>11638.888888888891</v>
      </c>
      <c r="Y66" s="16">
        <f t="shared" si="13"/>
        <v>23.206827653721177</v>
      </c>
      <c r="Z66" s="26">
        <f t="shared" si="14"/>
        <v>94848.140066288455</v>
      </c>
      <c r="AA66" s="26">
        <f t="shared" si="15"/>
        <v>94940.96737690334</v>
      </c>
      <c r="AB66" s="16">
        <f t="shared" si="18"/>
        <v>116.03413826860589</v>
      </c>
    </row>
    <row r="67" spans="7:28" x14ac:dyDescent="0.25">
      <c r="G67">
        <v>58</v>
      </c>
      <c r="H67" s="21">
        <v>45597</v>
      </c>
      <c r="I67" s="16">
        <f t="shared" si="19"/>
        <v>56522.567958660926</v>
      </c>
      <c r="J67" s="16">
        <f t="shared" si="20"/>
        <v>11304.513591732186</v>
      </c>
      <c r="K67" s="16">
        <f t="shared" si="21"/>
        <v>48927.918449606899</v>
      </c>
      <c r="L67" s="26">
        <f t="shared" si="22"/>
        <v>116755</v>
      </c>
      <c r="M67" s="26">
        <f t="shared" si="4"/>
        <v>116865.58287620395</v>
      </c>
      <c r="N67" s="16">
        <f t="shared" si="23"/>
        <v>1259167.432896991</v>
      </c>
      <c r="O67" s="16"/>
      <c r="P67" s="16">
        <f t="shared" si="6"/>
        <v>80746.525655229721</v>
      </c>
      <c r="Q67" s="16">
        <f t="shared" si="24"/>
        <v>58247.521963817882</v>
      </c>
      <c r="R67" s="16">
        <f t="shared" si="7"/>
        <v>1499008.8486868979</v>
      </c>
      <c r="S67" s="26">
        <f t="shared" si="8"/>
        <v>138994.0476190476</v>
      </c>
      <c r="T67" s="16">
        <f t="shared" si="25"/>
        <v>3326.7015258021224</v>
      </c>
      <c r="U67" s="26">
        <f t="shared" si="17"/>
        <v>116755</v>
      </c>
      <c r="V67" s="26">
        <f t="shared" si="10"/>
        <v>116865.58287620395</v>
      </c>
      <c r="W67" s="3">
        <f t="shared" si="11"/>
        <v>9785.5836899213809</v>
      </c>
      <c r="X67" s="16">
        <f t="shared" si="12"/>
        <v>11638.888888888891</v>
      </c>
      <c r="Y67" s="16">
        <f t="shared" si="13"/>
        <v>22.116575240789736</v>
      </c>
      <c r="Z67" s="26">
        <f t="shared" si="14"/>
        <v>95330.527421189734</v>
      </c>
      <c r="AA67" s="26">
        <f t="shared" si="15"/>
        <v>95418.993722152896</v>
      </c>
      <c r="AB67" s="16">
        <f t="shared" si="18"/>
        <v>110.58287620394867</v>
      </c>
    </row>
    <row r="68" spans="7:28" x14ac:dyDescent="0.25">
      <c r="G68">
        <v>59</v>
      </c>
      <c r="H68" s="21">
        <v>45627</v>
      </c>
      <c r="I68" s="16">
        <f t="shared" si="19"/>
        <v>58606.624498107441</v>
      </c>
      <c r="J68" s="16">
        <f t="shared" si="20"/>
        <v>11721.32489962149</v>
      </c>
      <c r="K68" s="16">
        <f t="shared" si="21"/>
        <v>46427.050602271083</v>
      </c>
      <c r="L68" s="26">
        <f t="shared" si="22"/>
        <v>116755</v>
      </c>
      <c r="M68" s="26">
        <f t="shared" si="4"/>
        <v>116859.93061940809</v>
      </c>
      <c r="N68" s="16">
        <f t="shared" si="23"/>
        <v>1188839.483499262</v>
      </c>
      <c r="O68" s="16"/>
      <c r="P68" s="16">
        <f t="shared" si="6"/>
        <v>83723.74928301046</v>
      </c>
      <c r="Q68" s="16">
        <f t="shared" si="24"/>
        <v>55270.298336037144</v>
      </c>
      <c r="R68" s="16">
        <f t="shared" si="7"/>
        <v>1415285.0994038875</v>
      </c>
      <c r="S68" s="26">
        <f t="shared" si="8"/>
        <v>138994.0476190476</v>
      </c>
      <c r="T68" s="16">
        <f t="shared" si="25"/>
        <v>3156.6628005264847</v>
      </c>
      <c r="U68" s="26">
        <f t="shared" si="17"/>
        <v>116755</v>
      </c>
      <c r="V68" s="26">
        <f t="shared" si="10"/>
        <v>116859.93061940809</v>
      </c>
      <c r="W68" s="3">
        <f t="shared" si="11"/>
        <v>9285.4101204542167</v>
      </c>
      <c r="X68" s="16">
        <f t="shared" si="12"/>
        <v>11638.888888888891</v>
      </c>
      <c r="Y68" s="16">
        <f t="shared" si="13"/>
        <v>20.986123881616518</v>
      </c>
      <c r="Z68" s="26">
        <f t="shared" si="14"/>
        <v>95830.7009906569</v>
      </c>
      <c r="AA68" s="26">
        <f t="shared" si="15"/>
        <v>95914.645486183348</v>
      </c>
      <c r="AB68" s="16">
        <f t="shared" si="18"/>
        <v>104.93061940808258</v>
      </c>
    </row>
    <row r="69" spans="7:28" x14ac:dyDescent="0.25">
      <c r="G69">
        <v>60</v>
      </c>
      <c r="H69" s="21">
        <v>45658</v>
      </c>
      <c r="I69" s="16">
        <f t="shared" si="19"/>
        <v>60767.522763195047</v>
      </c>
      <c r="J69" s="16">
        <f t="shared" si="20"/>
        <v>12153.504552639009</v>
      </c>
      <c r="K69" s="16">
        <f t="shared" si="21"/>
        <v>43833.972684165943</v>
      </c>
      <c r="L69" s="26">
        <f t="shared" si="22"/>
        <v>116755</v>
      </c>
      <c r="M69" s="26">
        <f t="shared" si="4"/>
        <v>116854.06995695826</v>
      </c>
      <c r="N69" s="16">
        <f t="shared" si="23"/>
        <v>1115918.4561834279</v>
      </c>
      <c r="O69" s="16"/>
      <c r="P69" s="16">
        <f t="shared" si="6"/>
        <v>86810.746804564187</v>
      </c>
      <c r="Q69" s="16">
        <f t="shared" si="24"/>
        <v>52183.300814483417</v>
      </c>
      <c r="R69" s="16">
        <f t="shared" si="7"/>
        <v>1328474.3525993233</v>
      </c>
      <c r="S69" s="26">
        <f t="shared" si="8"/>
        <v>138994.0476190476</v>
      </c>
      <c r="T69" s="16">
        <f t="shared" si="25"/>
        <v>2980.3545384946779</v>
      </c>
      <c r="U69" s="26">
        <f t="shared" si="17"/>
        <v>116755</v>
      </c>
      <c r="V69" s="26">
        <f t="shared" si="10"/>
        <v>116854.06995695826</v>
      </c>
      <c r="W69" s="3">
        <f t="shared" si="11"/>
        <v>8766.7945368331893</v>
      </c>
      <c r="X69" s="16">
        <f t="shared" si="12"/>
        <v>11638.888888888891</v>
      </c>
      <c r="Y69" s="16">
        <f t="shared" si="13"/>
        <v>19.813991391654369</v>
      </c>
      <c r="Z69" s="26">
        <f t="shared" si="14"/>
        <v>96349.316574277924</v>
      </c>
      <c r="AA69" s="26">
        <f t="shared" si="15"/>
        <v>96428.572539844536</v>
      </c>
      <c r="AB69" s="16">
        <f t="shared" si="18"/>
        <v>99.069956958271831</v>
      </c>
    </row>
    <row r="70" spans="7:28" x14ac:dyDescent="0.25">
      <c r="G70">
        <v>61</v>
      </c>
      <c r="H70" s="21">
        <v>45689</v>
      </c>
      <c r="I70" s="16">
        <f t="shared" si="19"/>
        <v>63008.09600277654</v>
      </c>
      <c r="J70" s="16">
        <f t="shared" si="20"/>
        <v>12601.619200555309</v>
      </c>
      <c r="K70" s="16">
        <f t="shared" si="21"/>
        <v>41145.284796668158</v>
      </c>
      <c r="L70" s="26">
        <f t="shared" si="22"/>
        <v>116755</v>
      </c>
      <c r="M70" s="26">
        <f t="shared" si="4"/>
        <v>116847.99320468196</v>
      </c>
      <c r="N70" s="16">
        <f t="shared" si="23"/>
        <v>1040308.740980096</v>
      </c>
      <c r="O70" s="16"/>
      <c r="P70" s="16">
        <f t="shared" si="6"/>
        <v>90011.565718252023</v>
      </c>
      <c r="Q70" s="16">
        <f t="shared" si="24"/>
        <v>48982.481900795581</v>
      </c>
      <c r="R70" s="16">
        <f t="shared" si="7"/>
        <v>1238462.7868810713</v>
      </c>
      <c r="S70" s="26">
        <f t="shared" si="8"/>
        <v>138994.0476190476</v>
      </c>
      <c r="T70" s="16">
        <f t="shared" si="25"/>
        <v>2797.545574182066</v>
      </c>
      <c r="U70" s="26">
        <f t="shared" si="17"/>
        <v>116755</v>
      </c>
      <c r="V70" s="26">
        <f t="shared" si="10"/>
        <v>116847.99320468196</v>
      </c>
      <c r="W70" s="3">
        <f t="shared" si="11"/>
        <v>8229.0569593336313</v>
      </c>
      <c r="X70" s="16">
        <f t="shared" si="12"/>
        <v>0</v>
      </c>
      <c r="Y70" s="16">
        <f t="shared" si="13"/>
        <v>0</v>
      </c>
      <c r="Z70" s="26">
        <f t="shared" si="14"/>
        <v>108525.94304066637</v>
      </c>
      <c r="AA70" s="26">
        <f t="shared" si="15"/>
        <v>108618.93624534833</v>
      </c>
      <c r="AB70" s="16">
        <f t="shared" si="18"/>
        <v>92.993204681952321</v>
      </c>
    </row>
    <row r="71" spans="7:28" x14ac:dyDescent="0.25">
      <c r="G71">
        <v>62</v>
      </c>
      <c r="H71" s="21">
        <v>45717</v>
      </c>
      <c r="I71" s="16">
        <f t="shared" si="19"/>
        <v>65331.281931071571</v>
      </c>
      <c r="J71" s="16">
        <f t="shared" si="20"/>
        <v>13066.256386214314</v>
      </c>
      <c r="K71" s="16">
        <f t="shared" si="21"/>
        <v>38357.461682714122</v>
      </c>
      <c r="L71" s="26">
        <f t="shared" si="22"/>
        <v>116755</v>
      </c>
      <c r="M71" s="26">
        <f t="shared" si="4"/>
        <v>116841.69239508167</v>
      </c>
      <c r="N71" s="16">
        <f t="shared" si="23"/>
        <v>961911.20266281022</v>
      </c>
      <c r="O71" s="16"/>
      <c r="P71" s="16">
        <f t="shared" si="6"/>
        <v>93330.402758673474</v>
      </c>
      <c r="Q71" s="16">
        <f t="shared" si="24"/>
        <v>45663.64486037413</v>
      </c>
      <c r="R71" s="16">
        <f t="shared" si="7"/>
        <v>1145132.3841223978</v>
      </c>
      <c r="S71" s="26">
        <f t="shared" si="8"/>
        <v>138994.0476190476</v>
      </c>
      <c r="T71" s="16">
        <f t="shared" si="25"/>
        <v>2607.9962187070464</v>
      </c>
      <c r="U71" s="26">
        <f t="shared" si="17"/>
        <v>116755</v>
      </c>
      <c r="V71" s="26">
        <f t="shared" si="10"/>
        <v>116841.69239508167</v>
      </c>
      <c r="W71" s="3">
        <f t="shared" si="11"/>
        <v>7671.4923365428249</v>
      </c>
      <c r="X71" s="16">
        <f t="shared" si="12"/>
        <v>0</v>
      </c>
      <c r="Y71" s="16">
        <f t="shared" si="13"/>
        <v>0</v>
      </c>
      <c r="Z71" s="26">
        <f t="shared" si="14"/>
        <v>109083.50766345717</v>
      </c>
      <c r="AA71" s="26">
        <f t="shared" si="15"/>
        <v>109170.20005853885</v>
      </c>
      <c r="AB71" s="16">
        <f t="shared" si="18"/>
        <v>86.692395081674661</v>
      </c>
    </row>
    <row r="72" spans="7:28" x14ac:dyDescent="0.25">
      <c r="G72">
        <v>63</v>
      </c>
      <c r="H72" s="21">
        <v>45748</v>
      </c>
      <c r="I72" s="16">
        <f t="shared" si="19"/>
        <v>67740.126579433127</v>
      </c>
      <c r="J72" s="16">
        <f t="shared" si="20"/>
        <v>13548.025315886625</v>
      </c>
      <c r="K72" s="16">
        <f t="shared" si="21"/>
        <v>35466.848104680241</v>
      </c>
      <c r="L72" s="26">
        <f t="shared" si="22"/>
        <v>116755</v>
      </c>
      <c r="M72" s="26">
        <f t="shared" si="4"/>
        <v>116835.15926688857</v>
      </c>
      <c r="N72" s="16">
        <f t="shared" si="23"/>
        <v>880623.05076749052</v>
      </c>
      <c r="O72" s="16"/>
      <c r="P72" s="16">
        <f t="shared" si="6"/>
        <v>96771.609399189998</v>
      </c>
      <c r="Q72" s="16">
        <f t="shared" si="24"/>
        <v>42222.438219857599</v>
      </c>
      <c r="R72" s="16">
        <f t="shared" si="7"/>
        <v>1048360.7747232078</v>
      </c>
      <c r="S72" s="26">
        <f t="shared" si="8"/>
        <v>138994.0476190476</v>
      </c>
      <c r="T72" s="16">
        <f t="shared" si="25"/>
        <v>2411.4579455644061</v>
      </c>
      <c r="U72" s="26">
        <f t="shared" si="17"/>
        <v>116755</v>
      </c>
      <c r="V72" s="26">
        <f t="shared" si="10"/>
        <v>116835.15926688857</v>
      </c>
      <c r="W72" s="3">
        <f t="shared" si="11"/>
        <v>7093.3696209360487</v>
      </c>
      <c r="X72" s="16">
        <f t="shared" si="12"/>
        <v>0</v>
      </c>
      <c r="Y72" s="16">
        <f t="shared" si="13"/>
        <v>0</v>
      </c>
      <c r="Z72" s="26">
        <f t="shared" si="14"/>
        <v>109661.63037906395</v>
      </c>
      <c r="AA72" s="26">
        <f t="shared" si="15"/>
        <v>109741.78964595252</v>
      </c>
      <c r="AB72" s="16">
        <f t="shared" si="18"/>
        <v>80.159266888567515</v>
      </c>
    </row>
    <row r="73" spans="7:28" x14ac:dyDescent="0.25">
      <c r="G73">
        <v>64</v>
      </c>
      <c r="H73" s="21">
        <v>45778</v>
      </c>
      <c r="I73" s="16">
        <f t="shared" si="19"/>
        <v>70237.788290133423</v>
      </c>
      <c r="J73" s="16">
        <f t="shared" si="20"/>
        <v>14047.557658026686</v>
      </c>
      <c r="K73" s="16">
        <f t="shared" si="21"/>
        <v>32469.654051839894</v>
      </c>
      <c r="L73" s="26">
        <f t="shared" si="22"/>
        <v>116755</v>
      </c>
      <c r="M73" s="26">
        <f t="shared" si="4"/>
        <v>116828.38525423063</v>
      </c>
      <c r="N73" s="16">
        <f t="shared" si="23"/>
        <v>796337.70481933036</v>
      </c>
      <c r="O73" s="16"/>
      <c r="P73" s="16">
        <f t="shared" si="6"/>
        <v>100339.69755733327</v>
      </c>
      <c r="Q73" s="16">
        <f t="shared" si="24"/>
        <v>38654.350061714336</v>
      </c>
      <c r="R73" s="16">
        <f t="shared" si="7"/>
        <v>948021.07716587454</v>
      </c>
      <c r="S73" s="26">
        <f t="shared" si="8"/>
        <v>138994.0476190476</v>
      </c>
      <c r="T73" s="16">
        <f t="shared" si="25"/>
        <v>2207.6730647712784</v>
      </c>
      <c r="U73" s="26">
        <f t="shared" si="17"/>
        <v>116755</v>
      </c>
      <c r="V73" s="26">
        <f t="shared" si="10"/>
        <v>116828.38525423063</v>
      </c>
      <c r="W73" s="3">
        <f t="shared" si="11"/>
        <v>6493.9308103679796</v>
      </c>
      <c r="X73" s="16">
        <f t="shared" si="12"/>
        <v>0</v>
      </c>
      <c r="Y73" s="16">
        <f t="shared" si="13"/>
        <v>0</v>
      </c>
      <c r="Z73" s="26">
        <f t="shared" si="14"/>
        <v>110261.06918963202</v>
      </c>
      <c r="AA73" s="26">
        <f t="shared" si="15"/>
        <v>110334.45444386265</v>
      </c>
      <c r="AB73" s="16">
        <f t="shared" si="18"/>
        <v>73.385254230624213</v>
      </c>
    </row>
    <row r="74" spans="7:28" x14ac:dyDescent="0.25">
      <c r="G74">
        <v>65</v>
      </c>
      <c r="H74" s="21">
        <v>45809</v>
      </c>
      <c r="I74" s="16">
        <f t="shared" ref="I74:I105" si="26">IF(G74&lt;=$D$14,(L74-K74)*1/(1+$D$20),0)</f>
        <v>72827.541857405362</v>
      </c>
      <c r="J74" s="16">
        <f t="shared" ref="J74:J105" si="27">IF(G74&lt;=$D$14,I74*$D$20,0)</f>
        <v>14565.508371481073</v>
      </c>
      <c r="K74" s="16">
        <f t="shared" ref="K74:K105" si="28">IF(G74&lt;=$D$14,N73*$D$17,0)</f>
        <v>29361.94977111357</v>
      </c>
      <c r="L74" s="26">
        <f t="shared" ref="L74:L105" si="29">IF(G74&lt;=$D$14,-$D$29,0)</f>
        <v>116755</v>
      </c>
      <c r="M74" s="26">
        <f t="shared" si="4"/>
        <v>116821.36147540162</v>
      </c>
      <c r="N74" s="16">
        <f t="shared" ref="N74:N105" si="30">IF(G74&lt;=$D$14,N73-I74-J74,0)</f>
        <v>708944.65459044394</v>
      </c>
      <c r="O74" s="16"/>
      <c r="P74" s="16">
        <f t="shared" si="6"/>
        <v>104039.34551057889</v>
      </c>
      <c r="Q74" s="16">
        <f t="shared" si="24"/>
        <v>34954.702108468722</v>
      </c>
      <c r="R74" s="16">
        <f t="shared" si="7"/>
        <v>843981.73165529571</v>
      </c>
      <c r="S74" s="26">
        <f t="shared" si="8"/>
        <v>138994.0476190476</v>
      </c>
      <c r="T74" s="16">
        <f t="shared" si="25"/>
        <v>1996.3743849984603</v>
      </c>
      <c r="U74" s="26">
        <f t="shared" si="17"/>
        <v>116755</v>
      </c>
      <c r="V74" s="26">
        <f t="shared" si="10"/>
        <v>116821.36147540162</v>
      </c>
      <c r="W74" s="3">
        <f t="shared" si="11"/>
        <v>5872.3899542227146</v>
      </c>
      <c r="X74" s="16">
        <f t="shared" si="12"/>
        <v>0</v>
      </c>
      <c r="Y74" s="16">
        <f t="shared" si="13"/>
        <v>0</v>
      </c>
      <c r="Z74" s="26">
        <f t="shared" si="14"/>
        <v>110882.61004577728</v>
      </c>
      <c r="AA74" s="26">
        <f t="shared" si="15"/>
        <v>110948.9715211789</v>
      </c>
      <c r="AB74" s="16">
        <f t="shared" si="18"/>
        <v>66.361475401610861</v>
      </c>
    </row>
    <row r="75" spans="7:28" x14ac:dyDescent="0.25">
      <c r="G75">
        <v>66</v>
      </c>
      <c r="H75" s="21">
        <v>45839</v>
      </c>
      <c r="I75" s="16">
        <f t="shared" si="26"/>
        <v>75512.782821169531</v>
      </c>
      <c r="J75" s="16">
        <f t="shared" si="27"/>
        <v>15102.556564233906</v>
      </c>
      <c r="K75" s="16">
        <f t="shared" si="28"/>
        <v>26139.660614596563</v>
      </c>
      <c r="L75" s="26">
        <f t="shared" si="29"/>
        <v>116755</v>
      </c>
      <c r="M75" s="26">
        <f t="shared" ref="M75:M138" si="31">L75+AB75</f>
        <v>116814.07872121588</v>
      </c>
      <c r="N75" s="16">
        <f t="shared" si="30"/>
        <v>618329.31520504039</v>
      </c>
      <c r="O75" s="16"/>
      <c r="P75" s="16">
        <f t="shared" ref="P75:P138" si="32">IF(G75&lt;=$D$14,-$E$29-Q75,0)</f>
        <v>107875.40403024197</v>
      </c>
      <c r="Q75" s="16">
        <f t="shared" ref="Q75:Q138" si="33">IF(G75&lt;=$D$14,R74*$D$17,0)</f>
        <v>31118.643588805629</v>
      </c>
      <c r="R75" s="16">
        <f t="shared" ref="R75:R138" si="34">IF(G75&lt;=$D$14,R74-P75,0)</f>
        <v>736106.3276250537</v>
      </c>
      <c r="S75" s="26">
        <f t="shared" ref="S75:S138" si="35">IF(G75&lt;=$D$14,P75+Q75,0)</f>
        <v>138994.0476190476</v>
      </c>
      <c r="T75" s="16">
        <f t="shared" ref="T75:T106" si="36">IF(G75&lt;=$D$14,IF($D$37="льготное",K75,N74*($D$24+3%)/12),0)</f>
        <v>1777.2848632440991</v>
      </c>
      <c r="U75" s="26">
        <f t="shared" ref="U75:U138" si="37">L75</f>
        <v>116755</v>
      </c>
      <c r="V75" s="26">
        <f t="shared" ref="V75:V138" si="38">M75</f>
        <v>116814.07872121588</v>
      </c>
      <c r="W75" s="3">
        <f t="shared" ref="W75:W138" si="39">IF($D$38="да",K75*$D$23,0)</f>
        <v>5227.9321229193129</v>
      </c>
      <c r="X75" s="16">
        <f t="shared" ref="X75:X138" si="40">IF(G75&lt;=$D$21,IF($D$38="да",($D$13)/$D$21*$D$23,0),0)</f>
        <v>0</v>
      </c>
      <c r="Y75" s="16">
        <f t="shared" ref="Y75:Y138" si="41">IF(G75&lt;=$D$21,IF($D$38="да",AB75*$D$23,0),0)</f>
        <v>0</v>
      </c>
      <c r="Z75" s="26">
        <f t="shared" ref="Z75:Z138" si="42">U75-W75-X75</f>
        <v>111527.06787708068</v>
      </c>
      <c r="AA75" s="26">
        <f t="shared" ref="AA75:AA138" si="43">V75-X75-Y75-W75</f>
        <v>111586.14659829656</v>
      </c>
      <c r="AB75" s="16">
        <f t="shared" si="18"/>
        <v>59.078721215870324</v>
      </c>
    </row>
    <row r="76" spans="7:28" x14ac:dyDescent="0.25">
      <c r="G76">
        <v>67</v>
      </c>
      <c r="H76" s="21">
        <v>45870</v>
      </c>
      <c r="I76" s="16">
        <f t="shared" si="26"/>
        <v>78297.031919076093</v>
      </c>
      <c r="J76" s="16">
        <f t="shared" si="27"/>
        <v>15659.40638381522</v>
      </c>
      <c r="K76" s="16">
        <f t="shared" si="28"/>
        <v>22798.561697108707</v>
      </c>
      <c r="L76" s="26">
        <f t="shared" si="29"/>
        <v>116755</v>
      </c>
      <c r="M76" s="26">
        <f t="shared" si="31"/>
        <v>116806.52744293376</v>
      </c>
      <c r="N76" s="16">
        <f t="shared" si="30"/>
        <v>524372.87690214906</v>
      </c>
      <c r="O76" s="16"/>
      <c r="P76" s="16">
        <f t="shared" si="32"/>
        <v>111852.90274153702</v>
      </c>
      <c r="Q76" s="16">
        <f t="shared" si="33"/>
        <v>27141.144877510575</v>
      </c>
      <c r="R76" s="16">
        <f t="shared" si="34"/>
        <v>624253.42488351674</v>
      </c>
      <c r="S76" s="26">
        <f t="shared" si="35"/>
        <v>138994.0476190476</v>
      </c>
      <c r="T76" s="16">
        <f t="shared" si="36"/>
        <v>1550.1172415904139</v>
      </c>
      <c r="U76" s="26">
        <f t="shared" si="37"/>
        <v>116755</v>
      </c>
      <c r="V76" s="26">
        <f t="shared" si="38"/>
        <v>116806.52744293376</v>
      </c>
      <c r="W76" s="3">
        <f t="shared" si="39"/>
        <v>4559.7123394217415</v>
      </c>
      <c r="X76" s="16">
        <f t="shared" si="40"/>
        <v>0</v>
      </c>
      <c r="Y76" s="16">
        <f t="shared" si="41"/>
        <v>0</v>
      </c>
      <c r="Z76" s="26">
        <f t="shared" si="42"/>
        <v>112195.28766057827</v>
      </c>
      <c r="AA76" s="26">
        <f t="shared" si="43"/>
        <v>112246.81510351202</v>
      </c>
      <c r="AB76" s="16">
        <f t="shared" ref="AB76:AB139" si="44">IF(G76&lt;=$D$14,N75*$D$24,0)</f>
        <v>51.527442933753363</v>
      </c>
    </row>
    <row r="77" spans="7:28" x14ac:dyDescent="0.25">
      <c r="G77">
        <v>68</v>
      </c>
      <c r="H77" s="21">
        <v>45901</v>
      </c>
      <c r="I77" s="16">
        <f t="shared" si="26"/>
        <v>81183.939702698815</v>
      </c>
      <c r="J77" s="16">
        <f t="shared" si="27"/>
        <v>16236.787940539763</v>
      </c>
      <c r="K77" s="16">
        <f t="shared" si="28"/>
        <v>19334.272356761427</v>
      </c>
      <c r="L77" s="26">
        <f t="shared" si="29"/>
        <v>116755</v>
      </c>
      <c r="M77" s="26">
        <f t="shared" si="31"/>
        <v>116798.69773974185</v>
      </c>
      <c r="N77" s="16">
        <f t="shared" si="30"/>
        <v>426952.14925891045</v>
      </c>
      <c r="O77" s="16"/>
      <c r="P77" s="16">
        <f t="shared" si="32"/>
        <v>115977.05671814093</v>
      </c>
      <c r="Q77" s="16">
        <f t="shared" si="33"/>
        <v>23016.99090090668</v>
      </c>
      <c r="R77" s="16">
        <f t="shared" si="34"/>
        <v>508276.36816537578</v>
      </c>
      <c r="S77" s="26">
        <f t="shared" si="35"/>
        <v>138994.0476190476</v>
      </c>
      <c r="T77" s="16">
        <f t="shared" si="36"/>
        <v>1314.5736705671932</v>
      </c>
      <c r="U77" s="26">
        <f t="shared" si="37"/>
        <v>116755</v>
      </c>
      <c r="V77" s="26">
        <f t="shared" si="38"/>
        <v>116798.69773974185</v>
      </c>
      <c r="W77" s="3">
        <f t="shared" si="39"/>
        <v>3866.8544713522856</v>
      </c>
      <c r="X77" s="16">
        <f t="shared" si="40"/>
        <v>0</v>
      </c>
      <c r="Y77" s="16">
        <f t="shared" si="41"/>
        <v>0</v>
      </c>
      <c r="Z77" s="26">
        <f t="shared" si="42"/>
        <v>112888.14552864771</v>
      </c>
      <c r="AA77" s="26">
        <f t="shared" si="43"/>
        <v>112931.84326838957</v>
      </c>
      <c r="AB77" s="16">
        <f t="shared" si="44"/>
        <v>43.697739741845751</v>
      </c>
    </row>
    <row r="78" spans="7:28" x14ac:dyDescent="0.25">
      <c r="G78">
        <v>69</v>
      </c>
      <c r="H78" s="21">
        <v>45931</v>
      </c>
      <c r="I78" s="16">
        <f t="shared" si="26"/>
        <v>84177.291323934143</v>
      </c>
      <c r="J78" s="16">
        <f t="shared" si="27"/>
        <v>16835.45826478683</v>
      </c>
      <c r="K78" s="16">
        <f t="shared" si="28"/>
        <v>15742.250411279041</v>
      </c>
      <c r="L78" s="26">
        <f t="shared" si="29"/>
        <v>116755</v>
      </c>
      <c r="M78" s="26">
        <f t="shared" si="31"/>
        <v>116790.57934577158</v>
      </c>
      <c r="N78" s="16">
        <f t="shared" si="30"/>
        <v>325939.39967018948</v>
      </c>
      <c r="O78" s="16"/>
      <c r="P78" s="16">
        <f t="shared" si="32"/>
        <v>120253.27331990565</v>
      </c>
      <c r="Q78" s="16">
        <f t="shared" si="33"/>
        <v>18740.774299141944</v>
      </c>
      <c r="R78" s="16">
        <f t="shared" si="34"/>
        <v>388023.09484547016</v>
      </c>
      <c r="S78" s="26">
        <f t="shared" si="35"/>
        <v>138994.0476190476</v>
      </c>
      <c r="T78" s="16">
        <f t="shared" si="36"/>
        <v>1070.3453186282406</v>
      </c>
      <c r="U78" s="26">
        <f t="shared" si="37"/>
        <v>116755</v>
      </c>
      <c r="V78" s="26">
        <f t="shared" si="38"/>
        <v>116790.57934577158</v>
      </c>
      <c r="W78" s="3">
        <f t="shared" si="39"/>
        <v>3148.4500822558084</v>
      </c>
      <c r="X78" s="16">
        <f t="shared" si="40"/>
        <v>0</v>
      </c>
      <c r="Y78" s="16">
        <f t="shared" si="41"/>
        <v>0</v>
      </c>
      <c r="Z78" s="26">
        <f t="shared" si="42"/>
        <v>113606.5499177442</v>
      </c>
      <c r="AA78" s="26">
        <f t="shared" si="43"/>
        <v>113642.12926351577</v>
      </c>
      <c r="AB78" s="16">
        <f t="shared" si="44"/>
        <v>35.579345771575866</v>
      </c>
    </row>
    <row r="79" spans="7:28" x14ac:dyDescent="0.25">
      <c r="G79">
        <v>70</v>
      </c>
      <c r="H79" s="21">
        <v>45962</v>
      </c>
      <c r="I79" s="16">
        <f t="shared" si="26"/>
        <v>87281.011497880303</v>
      </c>
      <c r="J79" s="16">
        <f t="shared" si="27"/>
        <v>17456.20229957606</v>
      </c>
      <c r="K79" s="16">
        <f t="shared" si="28"/>
        <v>12017.786202543635</v>
      </c>
      <c r="L79" s="26">
        <f t="shared" si="29"/>
        <v>116755</v>
      </c>
      <c r="M79" s="26">
        <f t="shared" si="31"/>
        <v>116782.16161663918</v>
      </c>
      <c r="N79" s="16">
        <f t="shared" si="30"/>
        <v>221202.18587273313</v>
      </c>
      <c r="O79" s="16"/>
      <c r="P79" s="16">
        <f t="shared" si="32"/>
        <v>124687.1592826859</v>
      </c>
      <c r="Q79" s="16">
        <f t="shared" si="33"/>
        <v>14306.88833636171</v>
      </c>
      <c r="R79" s="16">
        <f t="shared" si="34"/>
        <v>263335.93556278426</v>
      </c>
      <c r="S79" s="26">
        <f t="shared" si="35"/>
        <v>138994.0476190476</v>
      </c>
      <c r="T79" s="16">
        <f t="shared" si="36"/>
        <v>817.11196722873899</v>
      </c>
      <c r="U79" s="26">
        <f t="shared" si="37"/>
        <v>116755</v>
      </c>
      <c r="V79" s="26">
        <f t="shared" si="38"/>
        <v>116782.16161663918</v>
      </c>
      <c r="W79" s="3">
        <f t="shared" si="39"/>
        <v>2403.5572405087273</v>
      </c>
      <c r="X79" s="16">
        <f t="shared" si="40"/>
        <v>0</v>
      </c>
      <c r="Y79" s="16">
        <f t="shared" si="41"/>
        <v>0</v>
      </c>
      <c r="Z79" s="26">
        <f t="shared" si="42"/>
        <v>114351.44275949127</v>
      </c>
      <c r="AA79" s="26">
        <f t="shared" si="43"/>
        <v>114378.60437613045</v>
      </c>
      <c r="AB79" s="16">
        <f t="shared" si="44"/>
        <v>27.161616639182455</v>
      </c>
    </row>
    <row r="80" spans="7:28" x14ac:dyDescent="0.25">
      <c r="G80">
        <v>71</v>
      </c>
      <c r="H80" s="21">
        <v>45992</v>
      </c>
      <c r="I80" s="16">
        <f t="shared" si="26"/>
        <v>90499.169648704235</v>
      </c>
      <c r="J80" s="16">
        <f t="shared" si="27"/>
        <v>18099.833929740849</v>
      </c>
      <c r="K80" s="16">
        <f t="shared" si="28"/>
        <v>8155.9964215549207</v>
      </c>
      <c r="L80" s="26">
        <f t="shared" si="29"/>
        <v>116755</v>
      </c>
      <c r="M80" s="26">
        <f t="shared" si="31"/>
        <v>116773.43351548939</v>
      </c>
      <c r="N80" s="16">
        <f t="shared" si="30"/>
        <v>112603.18229428804</v>
      </c>
      <c r="O80" s="16"/>
      <c r="P80" s="16">
        <f t="shared" si="32"/>
        <v>129284.52806957721</v>
      </c>
      <c r="Q80" s="16">
        <f t="shared" si="33"/>
        <v>9709.519549470393</v>
      </c>
      <c r="R80" s="16">
        <f t="shared" si="34"/>
        <v>134051.40749320705</v>
      </c>
      <c r="S80" s="26">
        <f t="shared" si="35"/>
        <v>138994.0476190476</v>
      </c>
      <c r="T80" s="16">
        <f t="shared" si="36"/>
        <v>554.54159097261572</v>
      </c>
      <c r="U80" s="26">
        <f t="shared" si="37"/>
        <v>116755</v>
      </c>
      <c r="V80" s="26">
        <f t="shared" si="38"/>
        <v>116773.43351548939</v>
      </c>
      <c r="W80" s="3">
        <f t="shared" si="39"/>
        <v>1631.1992843109842</v>
      </c>
      <c r="X80" s="16">
        <f t="shared" si="40"/>
        <v>0</v>
      </c>
      <c r="Y80" s="16">
        <f t="shared" si="41"/>
        <v>0</v>
      </c>
      <c r="Z80" s="26">
        <f t="shared" si="42"/>
        <v>115123.80071568901</v>
      </c>
      <c r="AA80" s="26">
        <f t="shared" si="43"/>
        <v>115142.2342311784</v>
      </c>
      <c r="AB80" s="16">
        <f t="shared" si="44"/>
        <v>18.433515489394427</v>
      </c>
    </row>
    <row r="81" spans="7:28" x14ac:dyDescent="0.25">
      <c r="G81">
        <v>72</v>
      </c>
      <c r="H81" s="21">
        <v>46023</v>
      </c>
      <c r="I81" s="16">
        <f t="shared" si="26"/>
        <v>93835.985245242642</v>
      </c>
      <c r="J81" s="16">
        <f t="shared" si="27"/>
        <v>18767.197049048529</v>
      </c>
      <c r="K81" s="16">
        <f t="shared" si="28"/>
        <v>4151.8177057088333</v>
      </c>
      <c r="L81" s="26">
        <f t="shared" si="29"/>
        <v>116755</v>
      </c>
      <c r="M81" s="26">
        <f t="shared" si="31"/>
        <v>116764.38359852452</v>
      </c>
      <c r="N81" s="16">
        <f t="shared" si="30"/>
        <v>-3.1322997529059649E-9</v>
      </c>
      <c r="O81" s="16"/>
      <c r="P81" s="16">
        <f t="shared" si="32"/>
        <v>134051.4074932035</v>
      </c>
      <c r="Q81" s="16">
        <f t="shared" si="33"/>
        <v>4942.6401258441074</v>
      </c>
      <c r="R81" s="16">
        <f t="shared" si="34"/>
        <v>3.5506673157215118E-9</v>
      </c>
      <c r="S81" s="26">
        <f t="shared" si="35"/>
        <v>138994.0476190476</v>
      </c>
      <c r="T81" s="16">
        <f t="shared" si="36"/>
        <v>282.28992227943041</v>
      </c>
      <c r="U81" s="26">
        <f t="shared" si="37"/>
        <v>116755</v>
      </c>
      <c r="V81" s="26">
        <f t="shared" si="38"/>
        <v>116764.38359852452</v>
      </c>
      <c r="W81" s="3">
        <f t="shared" si="39"/>
        <v>830.36354114176675</v>
      </c>
      <c r="X81" s="16">
        <f t="shared" si="40"/>
        <v>0</v>
      </c>
      <c r="Y81" s="16">
        <f t="shared" si="41"/>
        <v>0</v>
      </c>
      <c r="Z81" s="26">
        <f t="shared" si="42"/>
        <v>115924.63645885824</v>
      </c>
      <c r="AA81" s="26">
        <f t="shared" si="43"/>
        <v>115934.02005738276</v>
      </c>
      <c r="AB81" s="16">
        <f t="shared" si="44"/>
        <v>9.3835985245240021</v>
      </c>
    </row>
    <row r="82" spans="7:28" x14ac:dyDescent="0.25">
      <c r="G82">
        <v>73</v>
      </c>
      <c r="H82" s="21">
        <v>46054</v>
      </c>
      <c r="I82" s="16">
        <f t="shared" si="26"/>
        <v>0</v>
      </c>
      <c r="J82" s="16">
        <f t="shared" si="27"/>
        <v>0</v>
      </c>
      <c r="K82" s="16">
        <f t="shared" si="28"/>
        <v>0</v>
      </c>
      <c r="L82" s="26">
        <f t="shared" si="29"/>
        <v>0</v>
      </c>
      <c r="M82" s="26">
        <f t="shared" si="31"/>
        <v>0</v>
      </c>
      <c r="N82" s="16">
        <f t="shared" si="30"/>
        <v>0</v>
      </c>
      <c r="O82" s="16"/>
      <c r="P82" s="16">
        <f t="shared" si="32"/>
        <v>0</v>
      </c>
      <c r="Q82" s="16">
        <f t="shared" si="33"/>
        <v>0</v>
      </c>
      <c r="R82" s="16">
        <f t="shared" si="34"/>
        <v>0</v>
      </c>
      <c r="S82" s="26">
        <f t="shared" si="35"/>
        <v>0</v>
      </c>
      <c r="T82" s="16">
        <f t="shared" si="36"/>
        <v>0</v>
      </c>
      <c r="U82" s="26">
        <f t="shared" si="37"/>
        <v>0</v>
      </c>
      <c r="V82" s="26">
        <f t="shared" si="38"/>
        <v>0</v>
      </c>
      <c r="W82" s="3">
        <f t="shared" si="39"/>
        <v>0</v>
      </c>
      <c r="X82" s="16">
        <f t="shared" si="40"/>
        <v>0</v>
      </c>
      <c r="Y82" s="16">
        <f t="shared" si="41"/>
        <v>0</v>
      </c>
      <c r="Z82" s="26">
        <f t="shared" si="42"/>
        <v>0</v>
      </c>
      <c r="AA82" s="26">
        <f t="shared" si="43"/>
        <v>0</v>
      </c>
      <c r="AB82" s="16">
        <f t="shared" si="44"/>
        <v>0</v>
      </c>
    </row>
    <row r="83" spans="7:28" x14ac:dyDescent="0.25">
      <c r="G83">
        <v>74</v>
      </c>
      <c r="H83" s="21">
        <v>46082</v>
      </c>
      <c r="I83" s="16">
        <f t="shared" si="26"/>
        <v>0</v>
      </c>
      <c r="J83" s="16">
        <f t="shared" si="27"/>
        <v>0</v>
      </c>
      <c r="K83" s="16">
        <f t="shared" si="28"/>
        <v>0</v>
      </c>
      <c r="L83" s="26">
        <f t="shared" si="29"/>
        <v>0</v>
      </c>
      <c r="M83" s="26">
        <f t="shared" si="31"/>
        <v>0</v>
      </c>
      <c r="N83" s="16">
        <f t="shared" si="30"/>
        <v>0</v>
      </c>
      <c r="O83" s="16"/>
      <c r="P83" s="16">
        <f t="shared" si="32"/>
        <v>0</v>
      </c>
      <c r="Q83" s="16">
        <f t="shared" si="33"/>
        <v>0</v>
      </c>
      <c r="R83" s="16">
        <f t="shared" si="34"/>
        <v>0</v>
      </c>
      <c r="S83" s="26">
        <f t="shared" si="35"/>
        <v>0</v>
      </c>
      <c r="T83" s="16">
        <f t="shared" si="36"/>
        <v>0</v>
      </c>
      <c r="U83" s="26">
        <f t="shared" si="37"/>
        <v>0</v>
      </c>
      <c r="V83" s="26">
        <f t="shared" si="38"/>
        <v>0</v>
      </c>
      <c r="W83" s="3">
        <f t="shared" si="39"/>
        <v>0</v>
      </c>
      <c r="X83" s="16">
        <f t="shared" si="40"/>
        <v>0</v>
      </c>
      <c r="Y83" s="16">
        <f t="shared" si="41"/>
        <v>0</v>
      </c>
      <c r="Z83" s="26">
        <f t="shared" si="42"/>
        <v>0</v>
      </c>
      <c r="AA83" s="26">
        <f t="shared" si="43"/>
        <v>0</v>
      </c>
      <c r="AB83" s="16">
        <f t="shared" si="44"/>
        <v>0</v>
      </c>
    </row>
    <row r="84" spans="7:28" x14ac:dyDescent="0.25">
      <c r="G84">
        <v>75</v>
      </c>
      <c r="H84" s="21">
        <v>46113</v>
      </c>
      <c r="I84" s="16">
        <f t="shared" si="26"/>
        <v>0</v>
      </c>
      <c r="J84" s="16">
        <f t="shared" si="27"/>
        <v>0</v>
      </c>
      <c r="K84" s="16">
        <f t="shared" si="28"/>
        <v>0</v>
      </c>
      <c r="L84" s="26">
        <f t="shared" si="29"/>
        <v>0</v>
      </c>
      <c r="M84" s="26">
        <f t="shared" si="31"/>
        <v>0</v>
      </c>
      <c r="N84" s="16">
        <f t="shared" si="30"/>
        <v>0</v>
      </c>
      <c r="O84" s="16"/>
      <c r="P84" s="16">
        <f t="shared" si="32"/>
        <v>0</v>
      </c>
      <c r="Q84" s="16">
        <f t="shared" si="33"/>
        <v>0</v>
      </c>
      <c r="R84" s="16">
        <f t="shared" si="34"/>
        <v>0</v>
      </c>
      <c r="S84" s="26">
        <f t="shared" si="35"/>
        <v>0</v>
      </c>
      <c r="T84" s="16">
        <f t="shared" si="36"/>
        <v>0</v>
      </c>
      <c r="U84" s="26">
        <f t="shared" si="37"/>
        <v>0</v>
      </c>
      <c r="V84" s="26">
        <f t="shared" si="38"/>
        <v>0</v>
      </c>
      <c r="W84" s="3">
        <f t="shared" si="39"/>
        <v>0</v>
      </c>
      <c r="X84" s="16">
        <f t="shared" si="40"/>
        <v>0</v>
      </c>
      <c r="Y84" s="16">
        <f t="shared" si="41"/>
        <v>0</v>
      </c>
      <c r="Z84" s="26">
        <f t="shared" si="42"/>
        <v>0</v>
      </c>
      <c r="AA84" s="26">
        <f t="shared" si="43"/>
        <v>0</v>
      </c>
      <c r="AB84" s="16">
        <f t="shared" si="44"/>
        <v>0</v>
      </c>
    </row>
    <row r="85" spans="7:28" x14ac:dyDescent="0.25">
      <c r="G85">
        <v>76</v>
      </c>
      <c r="H85" s="21">
        <v>46143</v>
      </c>
      <c r="I85" s="16">
        <f t="shared" si="26"/>
        <v>0</v>
      </c>
      <c r="J85" s="16">
        <f t="shared" si="27"/>
        <v>0</v>
      </c>
      <c r="K85" s="16">
        <f t="shared" si="28"/>
        <v>0</v>
      </c>
      <c r="L85" s="26">
        <f t="shared" si="29"/>
        <v>0</v>
      </c>
      <c r="M85" s="26">
        <f t="shared" si="31"/>
        <v>0</v>
      </c>
      <c r="N85" s="16">
        <f t="shared" si="30"/>
        <v>0</v>
      </c>
      <c r="O85" s="16"/>
      <c r="P85" s="16">
        <f t="shared" si="32"/>
        <v>0</v>
      </c>
      <c r="Q85" s="16">
        <f t="shared" si="33"/>
        <v>0</v>
      </c>
      <c r="R85" s="16">
        <f t="shared" si="34"/>
        <v>0</v>
      </c>
      <c r="S85" s="26">
        <f t="shared" si="35"/>
        <v>0</v>
      </c>
      <c r="T85" s="16">
        <f t="shared" si="36"/>
        <v>0</v>
      </c>
      <c r="U85" s="26">
        <f t="shared" si="37"/>
        <v>0</v>
      </c>
      <c r="V85" s="26">
        <f t="shared" si="38"/>
        <v>0</v>
      </c>
      <c r="W85" s="3">
        <f t="shared" si="39"/>
        <v>0</v>
      </c>
      <c r="X85" s="16">
        <f t="shared" si="40"/>
        <v>0</v>
      </c>
      <c r="Y85" s="16">
        <f t="shared" si="41"/>
        <v>0</v>
      </c>
      <c r="Z85" s="26">
        <f t="shared" si="42"/>
        <v>0</v>
      </c>
      <c r="AA85" s="26">
        <f t="shared" si="43"/>
        <v>0</v>
      </c>
      <c r="AB85" s="16">
        <f t="shared" si="44"/>
        <v>0</v>
      </c>
    </row>
    <row r="86" spans="7:28" x14ac:dyDescent="0.25">
      <c r="G86">
        <v>77</v>
      </c>
      <c r="H86" s="21">
        <v>46174</v>
      </c>
      <c r="I86" s="16">
        <f t="shared" si="26"/>
        <v>0</v>
      </c>
      <c r="J86" s="16">
        <f t="shared" si="27"/>
        <v>0</v>
      </c>
      <c r="K86" s="16">
        <f t="shared" si="28"/>
        <v>0</v>
      </c>
      <c r="L86" s="26">
        <f t="shared" si="29"/>
        <v>0</v>
      </c>
      <c r="M86" s="26">
        <f t="shared" si="31"/>
        <v>0</v>
      </c>
      <c r="N86" s="16">
        <f t="shared" si="30"/>
        <v>0</v>
      </c>
      <c r="O86" s="16"/>
      <c r="P86" s="16">
        <f t="shared" si="32"/>
        <v>0</v>
      </c>
      <c r="Q86" s="16">
        <f t="shared" si="33"/>
        <v>0</v>
      </c>
      <c r="R86" s="16">
        <f t="shared" si="34"/>
        <v>0</v>
      </c>
      <c r="S86" s="26">
        <f t="shared" si="35"/>
        <v>0</v>
      </c>
      <c r="T86" s="16">
        <f t="shared" si="36"/>
        <v>0</v>
      </c>
      <c r="U86" s="26">
        <f t="shared" si="37"/>
        <v>0</v>
      </c>
      <c r="V86" s="26">
        <f t="shared" si="38"/>
        <v>0</v>
      </c>
      <c r="W86" s="3">
        <f t="shared" si="39"/>
        <v>0</v>
      </c>
      <c r="X86" s="16">
        <f t="shared" si="40"/>
        <v>0</v>
      </c>
      <c r="Y86" s="16">
        <f t="shared" si="41"/>
        <v>0</v>
      </c>
      <c r="Z86" s="26">
        <f t="shared" si="42"/>
        <v>0</v>
      </c>
      <c r="AA86" s="26">
        <f t="shared" si="43"/>
        <v>0</v>
      </c>
      <c r="AB86" s="16">
        <f t="shared" si="44"/>
        <v>0</v>
      </c>
    </row>
    <row r="87" spans="7:28" x14ac:dyDescent="0.25">
      <c r="G87">
        <v>78</v>
      </c>
      <c r="H87" s="21">
        <v>46204</v>
      </c>
      <c r="I87" s="16">
        <f t="shared" si="26"/>
        <v>0</v>
      </c>
      <c r="J87" s="16">
        <f t="shared" si="27"/>
        <v>0</v>
      </c>
      <c r="K87" s="16">
        <f t="shared" si="28"/>
        <v>0</v>
      </c>
      <c r="L87" s="26">
        <f t="shared" si="29"/>
        <v>0</v>
      </c>
      <c r="M87" s="26">
        <f t="shared" si="31"/>
        <v>0</v>
      </c>
      <c r="N87" s="16">
        <f t="shared" si="30"/>
        <v>0</v>
      </c>
      <c r="O87" s="16"/>
      <c r="P87" s="16">
        <f t="shared" si="32"/>
        <v>0</v>
      </c>
      <c r="Q87" s="16">
        <f t="shared" si="33"/>
        <v>0</v>
      </c>
      <c r="R87" s="16">
        <f t="shared" si="34"/>
        <v>0</v>
      </c>
      <c r="S87" s="26">
        <f t="shared" si="35"/>
        <v>0</v>
      </c>
      <c r="T87" s="16">
        <f t="shared" si="36"/>
        <v>0</v>
      </c>
      <c r="U87" s="26">
        <f t="shared" si="37"/>
        <v>0</v>
      </c>
      <c r="V87" s="26">
        <f t="shared" si="38"/>
        <v>0</v>
      </c>
      <c r="W87" s="3">
        <f t="shared" si="39"/>
        <v>0</v>
      </c>
      <c r="X87" s="16">
        <f t="shared" si="40"/>
        <v>0</v>
      </c>
      <c r="Y87" s="16">
        <f t="shared" si="41"/>
        <v>0</v>
      </c>
      <c r="Z87" s="26">
        <f t="shared" si="42"/>
        <v>0</v>
      </c>
      <c r="AA87" s="26">
        <f t="shared" si="43"/>
        <v>0</v>
      </c>
      <c r="AB87" s="16">
        <f t="shared" si="44"/>
        <v>0</v>
      </c>
    </row>
    <row r="88" spans="7:28" x14ac:dyDescent="0.25">
      <c r="G88">
        <v>79</v>
      </c>
      <c r="H88" s="21">
        <v>46235</v>
      </c>
      <c r="I88" s="16">
        <f t="shared" si="26"/>
        <v>0</v>
      </c>
      <c r="J88" s="16">
        <f t="shared" si="27"/>
        <v>0</v>
      </c>
      <c r="K88" s="16">
        <f t="shared" si="28"/>
        <v>0</v>
      </c>
      <c r="L88" s="26">
        <f t="shared" si="29"/>
        <v>0</v>
      </c>
      <c r="M88" s="26">
        <f t="shared" si="31"/>
        <v>0</v>
      </c>
      <c r="N88" s="16">
        <f t="shared" si="30"/>
        <v>0</v>
      </c>
      <c r="O88" s="16"/>
      <c r="P88" s="16">
        <f t="shared" si="32"/>
        <v>0</v>
      </c>
      <c r="Q88" s="16">
        <f t="shared" si="33"/>
        <v>0</v>
      </c>
      <c r="R88" s="16">
        <f t="shared" si="34"/>
        <v>0</v>
      </c>
      <c r="S88" s="26">
        <f t="shared" si="35"/>
        <v>0</v>
      </c>
      <c r="T88" s="16">
        <f t="shared" si="36"/>
        <v>0</v>
      </c>
      <c r="U88" s="26">
        <f t="shared" si="37"/>
        <v>0</v>
      </c>
      <c r="V88" s="26">
        <f t="shared" si="38"/>
        <v>0</v>
      </c>
      <c r="W88" s="3">
        <f t="shared" si="39"/>
        <v>0</v>
      </c>
      <c r="X88" s="16">
        <f t="shared" si="40"/>
        <v>0</v>
      </c>
      <c r="Y88" s="16">
        <f t="shared" si="41"/>
        <v>0</v>
      </c>
      <c r="Z88" s="26">
        <f t="shared" si="42"/>
        <v>0</v>
      </c>
      <c r="AA88" s="26">
        <f t="shared" si="43"/>
        <v>0</v>
      </c>
      <c r="AB88" s="16">
        <f t="shared" si="44"/>
        <v>0</v>
      </c>
    </row>
    <row r="89" spans="7:28" x14ac:dyDescent="0.25">
      <c r="G89">
        <v>80</v>
      </c>
      <c r="H89" s="21">
        <v>46266</v>
      </c>
      <c r="I89" s="16">
        <f t="shared" si="26"/>
        <v>0</v>
      </c>
      <c r="J89" s="16">
        <f t="shared" si="27"/>
        <v>0</v>
      </c>
      <c r="K89" s="16">
        <f t="shared" si="28"/>
        <v>0</v>
      </c>
      <c r="L89" s="26">
        <f t="shared" si="29"/>
        <v>0</v>
      </c>
      <c r="M89" s="26">
        <f t="shared" si="31"/>
        <v>0</v>
      </c>
      <c r="N89" s="16">
        <f t="shared" si="30"/>
        <v>0</v>
      </c>
      <c r="O89" s="16"/>
      <c r="P89" s="16">
        <f t="shared" si="32"/>
        <v>0</v>
      </c>
      <c r="Q89" s="16">
        <f t="shared" si="33"/>
        <v>0</v>
      </c>
      <c r="R89" s="16">
        <f t="shared" si="34"/>
        <v>0</v>
      </c>
      <c r="S89" s="26">
        <f t="shared" si="35"/>
        <v>0</v>
      </c>
      <c r="T89" s="16">
        <f t="shared" si="36"/>
        <v>0</v>
      </c>
      <c r="U89" s="26">
        <f t="shared" si="37"/>
        <v>0</v>
      </c>
      <c r="V89" s="26">
        <f t="shared" si="38"/>
        <v>0</v>
      </c>
      <c r="W89" s="3">
        <f t="shared" si="39"/>
        <v>0</v>
      </c>
      <c r="X89" s="16">
        <f t="shared" si="40"/>
        <v>0</v>
      </c>
      <c r="Y89" s="16">
        <f t="shared" si="41"/>
        <v>0</v>
      </c>
      <c r="Z89" s="26">
        <f t="shared" si="42"/>
        <v>0</v>
      </c>
      <c r="AA89" s="26">
        <f t="shared" si="43"/>
        <v>0</v>
      </c>
      <c r="AB89" s="16">
        <f t="shared" si="44"/>
        <v>0</v>
      </c>
    </row>
    <row r="90" spans="7:28" x14ac:dyDescent="0.25">
      <c r="G90">
        <v>81</v>
      </c>
      <c r="H90" s="21">
        <v>46296</v>
      </c>
      <c r="I90" s="16">
        <f t="shared" si="26"/>
        <v>0</v>
      </c>
      <c r="J90" s="16">
        <f t="shared" si="27"/>
        <v>0</v>
      </c>
      <c r="K90" s="16">
        <f t="shared" si="28"/>
        <v>0</v>
      </c>
      <c r="L90" s="26">
        <f t="shared" si="29"/>
        <v>0</v>
      </c>
      <c r="M90" s="26">
        <f t="shared" si="31"/>
        <v>0</v>
      </c>
      <c r="N90" s="16">
        <f t="shared" si="30"/>
        <v>0</v>
      </c>
      <c r="O90" s="16"/>
      <c r="P90" s="16">
        <f t="shared" si="32"/>
        <v>0</v>
      </c>
      <c r="Q90" s="16">
        <f t="shared" si="33"/>
        <v>0</v>
      </c>
      <c r="R90" s="16">
        <f t="shared" si="34"/>
        <v>0</v>
      </c>
      <c r="S90" s="26">
        <f t="shared" si="35"/>
        <v>0</v>
      </c>
      <c r="T90" s="16">
        <f t="shared" si="36"/>
        <v>0</v>
      </c>
      <c r="U90" s="26">
        <f t="shared" si="37"/>
        <v>0</v>
      </c>
      <c r="V90" s="26">
        <f t="shared" si="38"/>
        <v>0</v>
      </c>
      <c r="W90" s="3">
        <f t="shared" si="39"/>
        <v>0</v>
      </c>
      <c r="X90" s="16">
        <f t="shared" si="40"/>
        <v>0</v>
      </c>
      <c r="Y90" s="16">
        <f t="shared" si="41"/>
        <v>0</v>
      </c>
      <c r="Z90" s="26">
        <f t="shared" si="42"/>
        <v>0</v>
      </c>
      <c r="AA90" s="26">
        <f t="shared" si="43"/>
        <v>0</v>
      </c>
      <c r="AB90" s="16">
        <f t="shared" si="44"/>
        <v>0</v>
      </c>
    </row>
    <row r="91" spans="7:28" x14ac:dyDescent="0.25">
      <c r="G91">
        <v>82</v>
      </c>
      <c r="H91" s="21">
        <v>46327</v>
      </c>
      <c r="I91" s="16">
        <f t="shared" si="26"/>
        <v>0</v>
      </c>
      <c r="J91" s="16">
        <f t="shared" si="27"/>
        <v>0</v>
      </c>
      <c r="K91" s="16">
        <f t="shared" si="28"/>
        <v>0</v>
      </c>
      <c r="L91" s="26">
        <f t="shared" si="29"/>
        <v>0</v>
      </c>
      <c r="M91" s="26">
        <f t="shared" si="31"/>
        <v>0</v>
      </c>
      <c r="N91" s="16">
        <f t="shared" si="30"/>
        <v>0</v>
      </c>
      <c r="O91" s="16"/>
      <c r="P91" s="16">
        <f t="shared" si="32"/>
        <v>0</v>
      </c>
      <c r="Q91" s="16">
        <f t="shared" si="33"/>
        <v>0</v>
      </c>
      <c r="R91" s="16">
        <f t="shared" si="34"/>
        <v>0</v>
      </c>
      <c r="S91" s="26">
        <f t="shared" si="35"/>
        <v>0</v>
      </c>
      <c r="T91" s="16">
        <f t="shared" si="36"/>
        <v>0</v>
      </c>
      <c r="U91" s="26">
        <f t="shared" si="37"/>
        <v>0</v>
      </c>
      <c r="V91" s="26">
        <f t="shared" si="38"/>
        <v>0</v>
      </c>
      <c r="W91" s="3">
        <f t="shared" si="39"/>
        <v>0</v>
      </c>
      <c r="X91" s="16">
        <f t="shared" si="40"/>
        <v>0</v>
      </c>
      <c r="Y91" s="16">
        <f t="shared" si="41"/>
        <v>0</v>
      </c>
      <c r="Z91" s="26">
        <f t="shared" si="42"/>
        <v>0</v>
      </c>
      <c r="AA91" s="26">
        <f t="shared" si="43"/>
        <v>0</v>
      </c>
      <c r="AB91" s="16">
        <f t="shared" si="44"/>
        <v>0</v>
      </c>
    </row>
    <row r="92" spans="7:28" x14ac:dyDescent="0.25">
      <c r="G92">
        <v>83</v>
      </c>
      <c r="H92" s="21">
        <v>46357</v>
      </c>
      <c r="I92" s="16">
        <f t="shared" si="26"/>
        <v>0</v>
      </c>
      <c r="J92" s="16">
        <f t="shared" si="27"/>
        <v>0</v>
      </c>
      <c r="K92" s="16">
        <f t="shared" si="28"/>
        <v>0</v>
      </c>
      <c r="L92" s="26">
        <f t="shared" si="29"/>
        <v>0</v>
      </c>
      <c r="M92" s="26">
        <f t="shared" si="31"/>
        <v>0</v>
      </c>
      <c r="N92" s="16">
        <f t="shared" si="30"/>
        <v>0</v>
      </c>
      <c r="O92" s="16"/>
      <c r="P92" s="16">
        <f t="shared" si="32"/>
        <v>0</v>
      </c>
      <c r="Q92" s="16">
        <f t="shared" si="33"/>
        <v>0</v>
      </c>
      <c r="R92" s="16">
        <f t="shared" si="34"/>
        <v>0</v>
      </c>
      <c r="S92" s="26">
        <f t="shared" si="35"/>
        <v>0</v>
      </c>
      <c r="T92" s="16">
        <f t="shared" si="36"/>
        <v>0</v>
      </c>
      <c r="U92" s="26">
        <f t="shared" si="37"/>
        <v>0</v>
      </c>
      <c r="V92" s="26">
        <f t="shared" si="38"/>
        <v>0</v>
      </c>
      <c r="W92" s="3">
        <f t="shared" si="39"/>
        <v>0</v>
      </c>
      <c r="X92" s="16">
        <f t="shared" si="40"/>
        <v>0</v>
      </c>
      <c r="Y92" s="16">
        <f t="shared" si="41"/>
        <v>0</v>
      </c>
      <c r="Z92" s="26">
        <f t="shared" si="42"/>
        <v>0</v>
      </c>
      <c r="AA92" s="26">
        <f t="shared" si="43"/>
        <v>0</v>
      </c>
      <c r="AB92" s="16">
        <f t="shared" si="44"/>
        <v>0</v>
      </c>
    </row>
    <row r="93" spans="7:28" x14ac:dyDescent="0.25">
      <c r="G93">
        <v>84</v>
      </c>
      <c r="H93" s="21">
        <v>46388</v>
      </c>
      <c r="I93" s="16">
        <f t="shared" si="26"/>
        <v>0</v>
      </c>
      <c r="J93" s="16">
        <f t="shared" si="27"/>
        <v>0</v>
      </c>
      <c r="K93" s="16">
        <f t="shared" si="28"/>
        <v>0</v>
      </c>
      <c r="L93" s="26">
        <f t="shared" si="29"/>
        <v>0</v>
      </c>
      <c r="M93" s="26">
        <f t="shared" si="31"/>
        <v>0</v>
      </c>
      <c r="N93" s="16">
        <f t="shared" si="30"/>
        <v>0</v>
      </c>
      <c r="O93" s="16"/>
      <c r="P93" s="16">
        <f t="shared" si="32"/>
        <v>0</v>
      </c>
      <c r="Q93" s="16">
        <f t="shared" si="33"/>
        <v>0</v>
      </c>
      <c r="R93" s="16">
        <f t="shared" si="34"/>
        <v>0</v>
      </c>
      <c r="S93" s="26">
        <f t="shared" si="35"/>
        <v>0</v>
      </c>
      <c r="T93" s="16">
        <f t="shared" si="36"/>
        <v>0</v>
      </c>
      <c r="U93" s="26">
        <f t="shared" si="37"/>
        <v>0</v>
      </c>
      <c r="V93" s="26">
        <f t="shared" si="38"/>
        <v>0</v>
      </c>
      <c r="W93" s="3">
        <f t="shared" si="39"/>
        <v>0</v>
      </c>
      <c r="X93" s="16">
        <f t="shared" si="40"/>
        <v>0</v>
      </c>
      <c r="Y93" s="16">
        <f t="shared" si="41"/>
        <v>0</v>
      </c>
      <c r="Z93" s="26">
        <f t="shared" si="42"/>
        <v>0</v>
      </c>
      <c r="AA93" s="26">
        <f t="shared" si="43"/>
        <v>0</v>
      </c>
      <c r="AB93" s="16">
        <f t="shared" si="44"/>
        <v>0</v>
      </c>
    </row>
    <row r="94" spans="7:28" x14ac:dyDescent="0.25">
      <c r="G94">
        <v>85</v>
      </c>
      <c r="H94" s="21">
        <v>46419</v>
      </c>
      <c r="I94" s="16">
        <f t="shared" si="26"/>
        <v>0</v>
      </c>
      <c r="J94" s="16">
        <f t="shared" si="27"/>
        <v>0</v>
      </c>
      <c r="K94" s="16">
        <f t="shared" si="28"/>
        <v>0</v>
      </c>
      <c r="L94" s="26">
        <f t="shared" si="29"/>
        <v>0</v>
      </c>
      <c r="M94" s="26">
        <f t="shared" si="31"/>
        <v>0</v>
      </c>
      <c r="N94" s="16">
        <f t="shared" si="30"/>
        <v>0</v>
      </c>
      <c r="O94" s="16"/>
      <c r="P94" s="16">
        <f t="shared" si="32"/>
        <v>0</v>
      </c>
      <c r="Q94" s="16">
        <f t="shared" si="33"/>
        <v>0</v>
      </c>
      <c r="R94" s="16">
        <f t="shared" si="34"/>
        <v>0</v>
      </c>
      <c r="S94" s="26">
        <f t="shared" si="35"/>
        <v>0</v>
      </c>
      <c r="T94" s="16">
        <f t="shared" si="36"/>
        <v>0</v>
      </c>
      <c r="U94" s="26">
        <f t="shared" si="37"/>
        <v>0</v>
      </c>
      <c r="V94" s="26">
        <f t="shared" si="38"/>
        <v>0</v>
      </c>
      <c r="W94" s="3">
        <f t="shared" si="39"/>
        <v>0</v>
      </c>
      <c r="X94" s="16">
        <f t="shared" si="40"/>
        <v>0</v>
      </c>
      <c r="Y94" s="16">
        <f t="shared" si="41"/>
        <v>0</v>
      </c>
      <c r="Z94" s="26">
        <f t="shared" si="42"/>
        <v>0</v>
      </c>
      <c r="AA94" s="26">
        <f t="shared" si="43"/>
        <v>0</v>
      </c>
      <c r="AB94" s="16">
        <f t="shared" si="44"/>
        <v>0</v>
      </c>
    </row>
    <row r="95" spans="7:28" x14ac:dyDescent="0.25">
      <c r="G95">
        <v>86</v>
      </c>
      <c r="H95" s="21">
        <v>46447</v>
      </c>
      <c r="I95" s="16">
        <f t="shared" si="26"/>
        <v>0</v>
      </c>
      <c r="J95" s="16">
        <f t="shared" si="27"/>
        <v>0</v>
      </c>
      <c r="K95" s="16">
        <f t="shared" si="28"/>
        <v>0</v>
      </c>
      <c r="L95" s="26">
        <f t="shared" si="29"/>
        <v>0</v>
      </c>
      <c r="M95" s="26">
        <f t="shared" si="31"/>
        <v>0</v>
      </c>
      <c r="N95" s="16">
        <f t="shared" si="30"/>
        <v>0</v>
      </c>
      <c r="O95" s="16"/>
      <c r="P95" s="16">
        <f t="shared" si="32"/>
        <v>0</v>
      </c>
      <c r="Q95" s="16">
        <f t="shared" si="33"/>
        <v>0</v>
      </c>
      <c r="R95" s="16">
        <f t="shared" si="34"/>
        <v>0</v>
      </c>
      <c r="S95" s="26">
        <f t="shared" si="35"/>
        <v>0</v>
      </c>
      <c r="T95" s="16">
        <f t="shared" si="36"/>
        <v>0</v>
      </c>
      <c r="U95" s="26">
        <f t="shared" si="37"/>
        <v>0</v>
      </c>
      <c r="V95" s="26">
        <f t="shared" si="38"/>
        <v>0</v>
      </c>
      <c r="W95" s="3">
        <f t="shared" si="39"/>
        <v>0</v>
      </c>
      <c r="X95" s="16">
        <f t="shared" si="40"/>
        <v>0</v>
      </c>
      <c r="Y95" s="16">
        <f t="shared" si="41"/>
        <v>0</v>
      </c>
      <c r="Z95" s="26">
        <f t="shared" si="42"/>
        <v>0</v>
      </c>
      <c r="AA95" s="26">
        <f t="shared" si="43"/>
        <v>0</v>
      </c>
      <c r="AB95" s="16">
        <f t="shared" si="44"/>
        <v>0</v>
      </c>
    </row>
    <row r="96" spans="7:28" x14ac:dyDescent="0.25">
      <c r="G96">
        <v>87</v>
      </c>
      <c r="H96" s="21">
        <v>46478</v>
      </c>
      <c r="I96" s="16">
        <f t="shared" si="26"/>
        <v>0</v>
      </c>
      <c r="J96" s="16">
        <f t="shared" si="27"/>
        <v>0</v>
      </c>
      <c r="K96" s="16">
        <f t="shared" si="28"/>
        <v>0</v>
      </c>
      <c r="L96" s="26">
        <f t="shared" si="29"/>
        <v>0</v>
      </c>
      <c r="M96" s="26">
        <f t="shared" si="31"/>
        <v>0</v>
      </c>
      <c r="N96" s="16">
        <f t="shared" si="30"/>
        <v>0</v>
      </c>
      <c r="O96" s="16"/>
      <c r="P96" s="16">
        <f t="shared" si="32"/>
        <v>0</v>
      </c>
      <c r="Q96" s="16">
        <f t="shared" si="33"/>
        <v>0</v>
      </c>
      <c r="R96" s="16">
        <f t="shared" si="34"/>
        <v>0</v>
      </c>
      <c r="S96" s="26">
        <f t="shared" si="35"/>
        <v>0</v>
      </c>
      <c r="T96" s="16">
        <f t="shared" si="36"/>
        <v>0</v>
      </c>
      <c r="U96" s="26">
        <f t="shared" si="37"/>
        <v>0</v>
      </c>
      <c r="V96" s="26">
        <f t="shared" si="38"/>
        <v>0</v>
      </c>
      <c r="W96" s="3">
        <f t="shared" si="39"/>
        <v>0</v>
      </c>
      <c r="X96" s="16">
        <f t="shared" si="40"/>
        <v>0</v>
      </c>
      <c r="Y96" s="16">
        <f t="shared" si="41"/>
        <v>0</v>
      </c>
      <c r="Z96" s="26">
        <f t="shared" si="42"/>
        <v>0</v>
      </c>
      <c r="AA96" s="26">
        <f t="shared" si="43"/>
        <v>0</v>
      </c>
      <c r="AB96" s="16">
        <f t="shared" si="44"/>
        <v>0</v>
      </c>
    </row>
    <row r="97" spans="7:28" x14ac:dyDescent="0.25">
      <c r="G97">
        <v>88</v>
      </c>
      <c r="H97" s="21">
        <v>46508</v>
      </c>
      <c r="I97" s="16">
        <f t="shared" si="26"/>
        <v>0</v>
      </c>
      <c r="J97" s="16">
        <f t="shared" si="27"/>
        <v>0</v>
      </c>
      <c r="K97" s="16">
        <f t="shared" si="28"/>
        <v>0</v>
      </c>
      <c r="L97" s="26">
        <f t="shared" si="29"/>
        <v>0</v>
      </c>
      <c r="M97" s="26">
        <f t="shared" si="31"/>
        <v>0</v>
      </c>
      <c r="N97" s="16">
        <f t="shared" si="30"/>
        <v>0</v>
      </c>
      <c r="O97" s="16"/>
      <c r="P97" s="16">
        <f t="shared" si="32"/>
        <v>0</v>
      </c>
      <c r="Q97" s="16">
        <f t="shared" si="33"/>
        <v>0</v>
      </c>
      <c r="R97" s="16">
        <f t="shared" si="34"/>
        <v>0</v>
      </c>
      <c r="S97" s="26">
        <f t="shared" si="35"/>
        <v>0</v>
      </c>
      <c r="T97" s="16">
        <f t="shared" si="36"/>
        <v>0</v>
      </c>
      <c r="U97" s="26">
        <f t="shared" si="37"/>
        <v>0</v>
      </c>
      <c r="V97" s="26">
        <f t="shared" si="38"/>
        <v>0</v>
      </c>
      <c r="W97" s="3">
        <f t="shared" si="39"/>
        <v>0</v>
      </c>
      <c r="X97" s="16">
        <f t="shared" si="40"/>
        <v>0</v>
      </c>
      <c r="Y97" s="16">
        <f t="shared" si="41"/>
        <v>0</v>
      </c>
      <c r="Z97" s="26">
        <f t="shared" si="42"/>
        <v>0</v>
      </c>
      <c r="AA97" s="26">
        <f t="shared" si="43"/>
        <v>0</v>
      </c>
      <c r="AB97" s="16">
        <f t="shared" si="44"/>
        <v>0</v>
      </c>
    </row>
    <row r="98" spans="7:28" x14ac:dyDescent="0.25">
      <c r="G98">
        <v>89</v>
      </c>
      <c r="H98" s="21">
        <v>46539</v>
      </c>
      <c r="I98" s="16">
        <f t="shared" si="26"/>
        <v>0</v>
      </c>
      <c r="J98" s="16">
        <f t="shared" si="27"/>
        <v>0</v>
      </c>
      <c r="K98" s="16">
        <f t="shared" si="28"/>
        <v>0</v>
      </c>
      <c r="L98" s="26">
        <f t="shared" si="29"/>
        <v>0</v>
      </c>
      <c r="M98" s="26">
        <f t="shared" si="31"/>
        <v>0</v>
      </c>
      <c r="N98" s="16">
        <f t="shared" si="30"/>
        <v>0</v>
      </c>
      <c r="O98" s="16"/>
      <c r="P98" s="16">
        <f t="shared" si="32"/>
        <v>0</v>
      </c>
      <c r="Q98" s="16">
        <f t="shared" si="33"/>
        <v>0</v>
      </c>
      <c r="R98" s="16">
        <f t="shared" si="34"/>
        <v>0</v>
      </c>
      <c r="S98" s="26">
        <f t="shared" si="35"/>
        <v>0</v>
      </c>
      <c r="T98" s="16">
        <f t="shared" si="36"/>
        <v>0</v>
      </c>
      <c r="U98" s="26">
        <f t="shared" si="37"/>
        <v>0</v>
      </c>
      <c r="V98" s="26">
        <f t="shared" si="38"/>
        <v>0</v>
      </c>
      <c r="W98" s="3">
        <f t="shared" si="39"/>
        <v>0</v>
      </c>
      <c r="X98" s="16">
        <f t="shared" si="40"/>
        <v>0</v>
      </c>
      <c r="Y98" s="16">
        <f t="shared" si="41"/>
        <v>0</v>
      </c>
      <c r="Z98" s="26">
        <f t="shared" si="42"/>
        <v>0</v>
      </c>
      <c r="AA98" s="26">
        <f t="shared" si="43"/>
        <v>0</v>
      </c>
      <c r="AB98" s="16">
        <f t="shared" si="44"/>
        <v>0</v>
      </c>
    </row>
    <row r="99" spans="7:28" x14ac:dyDescent="0.25">
      <c r="G99">
        <v>90</v>
      </c>
      <c r="H99" s="21">
        <v>46569</v>
      </c>
      <c r="I99" s="16">
        <f t="shared" si="26"/>
        <v>0</v>
      </c>
      <c r="J99" s="16">
        <f t="shared" si="27"/>
        <v>0</v>
      </c>
      <c r="K99" s="16">
        <f t="shared" si="28"/>
        <v>0</v>
      </c>
      <c r="L99" s="26">
        <f t="shared" si="29"/>
        <v>0</v>
      </c>
      <c r="M99" s="26">
        <f t="shared" si="31"/>
        <v>0</v>
      </c>
      <c r="N99" s="16">
        <f t="shared" si="30"/>
        <v>0</v>
      </c>
      <c r="O99" s="16"/>
      <c r="P99" s="16">
        <f t="shared" si="32"/>
        <v>0</v>
      </c>
      <c r="Q99" s="16">
        <f t="shared" si="33"/>
        <v>0</v>
      </c>
      <c r="R99" s="16">
        <f t="shared" si="34"/>
        <v>0</v>
      </c>
      <c r="S99" s="26">
        <f t="shared" si="35"/>
        <v>0</v>
      </c>
      <c r="T99" s="16">
        <f t="shared" si="36"/>
        <v>0</v>
      </c>
      <c r="U99" s="26">
        <f t="shared" si="37"/>
        <v>0</v>
      </c>
      <c r="V99" s="26">
        <f t="shared" si="38"/>
        <v>0</v>
      </c>
      <c r="W99" s="3">
        <f t="shared" si="39"/>
        <v>0</v>
      </c>
      <c r="X99" s="16">
        <f t="shared" si="40"/>
        <v>0</v>
      </c>
      <c r="Y99" s="16">
        <f t="shared" si="41"/>
        <v>0</v>
      </c>
      <c r="Z99" s="26">
        <f t="shared" si="42"/>
        <v>0</v>
      </c>
      <c r="AA99" s="26">
        <f t="shared" si="43"/>
        <v>0</v>
      </c>
      <c r="AB99" s="16">
        <f t="shared" si="44"/>
        <v>0</v>
      </c>
    </row>
    <row r="100" spans="7:28" x14ac:dyDescent="0.25">
      <c r="G100">
        <v>91</v>
      </c>
      <c r="H100" s="21">
        <v>46600</v>
      </c>
      <c r="I100" s="16">
        <f t="shared" si="26"/>
        <v>0</v>
      </c>
      <c r="J100" s="16">
        <f t="shared" si="27"/>
        <v>0</v>
      </c>
      <c r="K100" s="16">
        <f t="shared" si="28"/>
        <v>0</v>
      </c>
      <c r="L100" s="26">
        <f t="shared" si="29"/>
        <v>0</v>
      </c>
      <c r="M100" s="26">
        <f t="shared" si="31"/>
        <v>0</v>
      </c>
      <c r="N100" s="16">
        <f t="shared" si="30"/>
        <v>0</v>
      </c>
      <c r="O100" s="16"/>
      <c r="P100" s="16">
        <f t="shared" si="32"/>
        <v>0</v>
      </c>
      <c r="Q100" s="16">
        <f t="shared" si="33"/>
        <v>0</v>
      </c>
      <c r="R100" s="16">
        <f t="shared" si="34"/>
        <v>0</v>
      </c>
      <c r="S100" s="26">
        <f t="shared" si="35"/>
        <v>0</v>
      </c>
      <c r="T100" s="16">
        <f t="shared" si="36"/>
        <v>0</v>
      </c>
      <c r="U100" s="26">
        <f t="shared" si="37"/>
        <v>0</v>
      </c>
      <c r="V100" s="26">
        <f t="shared" si="38"/>
        <v>0</v>
      </c>
      <c r="W100" s="3">
        <f t="shared" si="39"/>
        <v>0</v>
      </c>
      <c r="X100" s="16">
        <f t="shared" si="40"/>
        <v>0</v>
      </c>
      <c r="Y100" s="16">
        <f t="shared" si="41"/>
        <v>0</v>
      </c>
      <c r="Z100" s="26">
        <f t="shared" si="42"/>
        <v>0</v>
      </c>
      <c r="AA100" s="26">
        <f t="shared" si="43"/>
        <v>0</v>
      </c>
      <c r="AB100" s="16">
        <f t="shared" si="44"/>
        <v>0</v>
      </c>
    </row>
    <row r="101" spans="7:28" x14ac:dyDescent="0.25">
      <c r="G101">
        <v>92</v>
      </c>
      <c r="H101" s="21">
        <v>46631</v>
      </c>
      <c r="I101" s="16">
        <f t="shared" si="26"/>
        <v>0</v>
      </c>
      <c r="J101" s="16">
        <f t="shared" si="27"/>
        <v>0</v>
      </c>
      <c r="K101" s="16">
        <f t="shared" si="28"/>
        <v>0</v>
      </c>
      <c r="L101" s="26">
        <f t="shared" si="29"/>
        <v>0</v>
      </c>
      <c r="M101" s="26">
        <f t="shared" si="31"/>
        <v>0</v>
      </c>
      <c r="N101" s="16">
        <f t="shared" si="30"/>
        <v>0</v>
      </c>
      <c r="O101" s="16"/>
      <c r="P101" s="16">
        <f t="shared" si="32"/>
        <v>0</v>
      </c>
      <c r="Q101" s="16">
        <f t="shared" si="33"/>
        <v>0</v>
      </c>
      <c r="R101" s="16">
        <f t="shared" si="34"/>
        <v>0</v>
      </c>
      <c r="S101" s="26">
        <f t="shared" si="35"/>
        <v>0</v>
      </c>
      <c r="T101" s="16">
        <f t="shared" si="36"/>
        <v>0</v>
      </c>
      <c r="U101" s="26">
        <f t="shared" si="37"/>
        <v>0</v>
      </c>
      <c r="V101" s="26">
        <f t="shared" si="38"/>
        <v>0</v>
      </c>
      <c r="W101" s="3">
        <f t="shared" si="39"/>
        <v>0</v>
      </c>
      <c r="X101" s="16">
        <f t="shared" si="40"/>
        <v>0</v>
      </c>
      <c r="Y101" s="16">
        <f t="shared" si="41"/>
        <v>0</v>
      </c>
      <c r="Z101" s="26">
        <f t="shared" si="42"/>
        <v>0</v>
      </c>
      <c r="AA101" s="26">
        <f t="shared" si="43"/>
        <v>0</v>
      </c>
      <c r="AB101" s="16">
        <f t="shared" si="44"/>
        <v>0</v>
      </c>
    </row>
    <row r="102" spans="7:28" x14ac:dyDescent="0.25">
      <c r="G102">
        <v>93</v>
      </c>
      <c r="H102" s="21">
        <v>46661</v>
      </c>
      <c r="I102" s="16">
        <f t="shared" si="26"/>
        <v>0</v>
      </c>
      <c r="J102" s="16">
        <f t="shared" si="27"/>
        <v>0</v>
      </c>
      <c r="K102" s="16">
        <f t="shared" si="28"/>
        <v>0</v>
      </c>
      <c r="L102" s="26">
        <f t="shared" si="29"/>
        <v>0</v>
      </c>
      <c r="M102" s="26">
        <f t="shared" si="31"/>
        <v>0</v>
      </c>
      <c r="N102" s="16">
        <f t="shared" si="30"/>
        <v>0</v>
      </c>
      <c r="O102" s="16"/>
      <c r="P102" s="16">
        <f t="shared" si="32"/>
        <v>0</v>
      </c>
      <c r="Q102" s="16">
        <f t="shared" si="33"/>
        <v>0</v>
      </c>
      <c r="R102" s="16">
        <f t="shared" si="34"/>
        <v>0</v>
      </c>
      <c r="S102" s="26">
        <f t="shared" si="35"/>
        <v>0</v>
      </c>
      <c r="T102" s="16">
        <f t="shared" si="36"/>
        <v>0</v>
      </c>
      <c r="U102" s="26">
        <f t="shared" si="37"/>
        <v>0</v>
      </c>
      <c r="V102" s="26">
        <f t="shared" si="38"/>
        <v>0</v>
      </c>
      <c r="W102" s="3">
        <f t="shared" si="39"/>
        <v>0</v>
      </c>
      <c r="X102" s="16">
        <f t="shared" si="40"/>
        <v>0</v>
      </c>
      <c r="Y102" s="16">
        <f t="shared" si="41"/>
        <v>0</v>
      </c>
      <c r="Z102" s="26">
        <f t="shared" si="42"/>
        <v>0</v>
      </c>
      <c r="AA102" s="26">
        <f t="shared" si="43"/>
        <v>0</v>
      </c>
      <c r="AB102" s="16">
        <f t="shared" si="44"/>
        <v>0</v>
      </c>
    </row>
    <row r="103" spans="7:28" x14ac:dyDescent="0.25">
      <c r="G103">
        <v>94</v>
      </c>
      <c r="H103" s="21">
        <v>46692</v>
      </c>
      <c r="I103" s="16">
        <f t="shared" si="26"/>
        <v>0</v>
      </c>
      <c r="J103" s="16">
        <f t="shared" si="27"/>
        <v>0</v>
      </c>
      <c r="K103" s="16">
        <f t="shared" si="28"/>
        <v>0</v>
      </c>
      <c r="L103" s="26">
        <f t="shared" si="29"/>
        <v>0</v>
      </c>
      <c r="M103" s="26">
        <f t="shared" si="31"/>
        <v>0</v>
      </c>
      <c r="N103" s="16">
        <f t="shared" si="30"/>
        <v>0</v>
      </c>
      <c r="O103" s="16"/>
      <c r="P103" s="16">
        <f t="shared" si="32"/>
        <v>0</v>
      </c>
      <c r="Q103" s="16">
        <f t="shared" si="33"/>
        <v>0</v>
      </c>
      <c r="R103" s="16">
        <f t="shared" si="34"/>
        <v>0</v>
      </c>
      <c r="S103" s="26">
        <f t="shared" si="35"/>
        <v>0</v>
      </c>
      <c r="T103" s="16">
        <f t="shared" si="36"/>
        <v>0</v>
      </c>
      <c r="U103" s="26">
        <f t="shared" si="37"/>
        <v>0</v>
      </c>
      <c r="V103" s="26">
        <f t="shared" si="38"/>
        <v>0</v>
      </c>
      <c r="W103" s="3">
        <f t="shared" si="39"/>
        <v>0</v>
      </c>
      <c r="X103" s="16">
        <f t="shared" si="40"/>
        <v>0</v>
      </c>
      <c r="Y103" s="16">
        <f t="shared" si="41"/>
        <v>0</v>
      </c>
      <c r="Z103" s="26">
        <f t="shared" si="42"/>
        <v>0</v>
      </c>
      <c r="AA103" s="26">
        <f t="shared" si="43"/>
        <v>0</v>
      </c>
      <c r="AB103" s="16">
        <f t="shared" si="44"/>
        <v>0</v>
      </c>
    </row>
    <row r="104" spans="7:28" x14ac:dyDescent="0.25">
      <c r="G104">
        <v>95</v>
      </c>
      <c r="H104" s="21">
        <v>46722</v>
      </c>
      <c r="I104" s="16">
        <f t="shared" si="26"/>
        <v>0</v>
      </c>
      <c r="J104" s="16">
        <f t="shared" si="27"/>
        <v>0</v>
      </c>
      <c r="K104" s="16">
        <f t="shared" si="28"/>
        <v>0</v>
      </c>
      <c r="L104" s="26">
        <f t="shared" si="29"/>
        <v>0</v>
      </c>
      <c r="M104" s="26">
        <f t="shared" si="31"/>
        <v>0</v>
      </c>
      <c r="N104" s="16">
        <f t="shared" si="30"/>
        <v>0</v>
      </c>
      <c r="O104" s="16"/>
      <c r="P104" s="16">
        <f t="shared" si="32"/>
        <v>0</v>
      </c>
      <c r="Q104" s="16">
        <f t="shared" si="33"/>
        <v>0</v>
      </c>
      <c r="R104" s="16">
        <f t="shared" si="34"/>
        <v>0</v>
      </c>
      <c r="S104" s="26">
        <f t="shared" si="35"/>
        <v>0</v>
      </c>
      <c r="T104" s="16">
        <f t="shared" si="36"/>
        <v>0</v>
      </c>
      <c r="U104" s="26">
        <f t="shared" si="37"/>
        <v>0</v>
      </c>
      <c r="V104" s="26">
        <f t="shared" si="38"/>
        <v>0</v>
      </c>
      <c r="W104" s="3">
        <f t="shared" si="39"/>
        <v>0</v>
      </c>
      <c r="X104" s="16">
        <f t="shared" si="40"/>
        <v>0</v>
      </c>
      <c r="Y104" s="16">
        <f t="shared" si="41"/>
        <v>0</v>
      </c>
      <c r="Z104" s="26">
        <f t="shared" si="42"/>
        <v>0</v>
      </c>
      <c r="AA104" s="26">
        <f t="shared" si="43"/>
        <v>0</v>
      </c>
      <c r="AB104" s="16">
        <f t="shared" si="44"/>
        <v>0</v>
      </c>
    </row>
    <row r="105" spans="7:28" x14ac:dyDescent="0.25">
      <c r="G105">
        <v>96</v>
      </c>
      <c r="H105" s="21">
        <v>46753</v>
      </c>
      <c r="I105" s="16">
        <f t="shared" si="26"/>
        <v>0</v>
      </c>
      <c r="J105" s="16">
        <f t="shared" si="27"/>
        <v>0</v>
      </c>
      <c r="K105" s="16">
        <f t="shared" si="28"/>
        <v>0</v>
      </c>
      <c r="L105" s="26">
        <f t="shared" si="29"/>
        <v>0</v>
      </c>
      <c r="M105" s="26">
        <f t="shared" si="31"/>
        <v>0</v>
      </c>
      <c r="N105" s="16">
        <f t="shared" si="30"/>
        <v>0</v>
      </c>
      <c r="O105" s="16"/>
      <c r="P105" s="16">
        <f t="shared" si="32"/>
        <v>0</v>
      </c>
      <c r="Q105" s="16">
        <f t="shared" si="33"/>
        <v>0</v>
      </c>
      <c r="R105" s="16">
        <f t="shared" si="34"/>
        <v>0</v>
      </c>
      <c r="S105" s="26">
        <f t="shared" si="35"/>
        <v>0</v>
      </c>
      <c r="T105" s="16">
        <f t="shared" si="36"/>
        <v>0</v>
      </c>
      <c r="U105" s="26">
        <f t="shared" si="37"/>
        <v>0</v>
      </c>
      <c r="V105" s="26">
        <f t="shared" si="38"/>
        <v>0</v>
      </c>
      <c r="W105" s="3">
        <f t="shared" si="39"/>
        <v>0</v>
      </c>
      <c r="X105" s="16">
        <f t="shared" si="40"/>
        <v>0</v>
      </c>
      <c r="Y105" s="16">
        <f t="shared" si="41"/>
        <v>0</v>
      </c>
      <c r="Z105" s="26">
        <f t="shared" si="42"/>
        <v>0</v>
      </c>
      <c r="AA105" s="26">
        <f t="shared" si="43"/>
        <v>0</v>
      </c>
      <c r="AB105" s="16">
        <f t="shared" si="44"/>
        <v>0</v>
      </c>
    </row>
    <row r="106" spans="7:28" x14ac:dyDescent="0.25">
      <c r="G106">
        <v>97</v>
      </c>
      <c r="H106" s="21">
        <v>46784</v>
      </c>
      <c r="I106" s="16">
        <f t="shared" ref="I106:I137" si="45">IF(G106&lt;=$D$14,(L106-K106)*1/(1+$D$20),0)</f>
        <v>0</v>
      </c>
      <c r="J106" s="16">
        <f t="shared" ref="J106:J137" si="46">IF(G106&lt;=$D$14,I106*$D$20,0)</f>
        <v>0</v>
      </c>
      <c r="K106" s="16">
        <f t="shared" ref="K106:K137" si="47">IF(G106&lt;=$D$14,N105*$D$17,0)</f>
        <v>0</v>
      </c>
      <c r="L106" s="26">
        <f t="shared" ref="L106:L137" si="48">IF(G106&lt;=$D$14,-$D$29,0)</f>
        <v>0</v>
      </c>
      <c r="M106" s="26">
        <f t="shared" si="31"/>
        <v>0</v>
      </c>
      <c r="N106" s="16">
        <f t="shared" ref="N106:N137" si="49">IF(G106&lt;=$D$14,N105-I106-J106,0)</f>
        <v>0</v>
      </c>
      <c r="O106" s="16"/>
      <c r="P106" s="16">
        <f t="shared" si="32"/>
        <v>0</v>
      </c>
      <c r="Q106" s="16">
        <f t="shared" si="33"/>
        <v>0</v>
      </c>
      <c r="R106" s="16">
        <f t="shared" si="34"/>
        <v>0</v>
      </c>
      <c r="S106" s="26">
        <f t="shared" si="35"/>
        <v>0</v>
      </c>
      <c r="T106" s="16">
        <f t="shared" si="36"/>
        <v>0</v>
      </c>
      <c r="U106" s="26">
        <f t="shared" si="37"/>
        <v>0</v>
      </c>
      <c r="V106" s="26">
        <f t="shared" si="38"/>
        <v>0</v>
      </c>
      <c r="W106" s="3">
        <f t="shared" si="39"/>
        <v>0</v>
      </c>
      <c r="X106" s="16">
        <f t="shared" si="40"/>
        <v>0</v>
      </c>
      <c r="Y106" s="16">
        <f t="shared" si="41"/>
        <v>0</v>
      </c>
      <c r="Z106" s="26">
        <f t="shared" si="42"/>
        <v>0</v>
      </c>
      <c r="AA106" s="26">
        <f t="shared" si="43"/>
        <v>0</v>
      </c>
      <c r="AB106" s="16">
        <f t="shared" si="44"/>
        <v>0</v>
      </c>
    </row>
    <row r="107" spans="7:28" x14ac:dyDescent="0.25">
      <c r="G107">
        <v>98</v>
      </c>
      <c r="H107" s="21">
        <v>46813</v>
      </c>
      <c r="I107" s="16">
        <f t="shared" si="45"/>
        <v>0</v>
      </c>
      <c r="J107" s="16">
        <f t="shared" si="46"/>
        <v>0</v>
      </c>
      <c r="K107" s="16">
        <f t="shared" si="47"/>
        <v>0</v>
      </c>
      <c r="L107" s="26">
        <f t="shared" si="48"/>
        <v>0</v>
      </c>
      <c r="M107" s="26">
        <f t="shared" si="31"/>
        <v>0</v>
      </c>
      <c r="N107" s="16">
        <f t="shared" si="49"/>
        <v>0</v>
      </c>
      <c r="O107" s="16"/>
      <c r="P107" s="16">
        <f t="shared" si="32"/>
        <v>0</v>
      </c>
      <c r="Q107" s="16">
        <f t="shared" si="33"/>
        <v>0</v>
      </c>
      <c r="R107" s="16">
        <f t="shared" si="34"/>
        <v>0</v>
      </c>
      <c r="S107" s="26">
        <f t="shared" si="35"/>
        <v>0</v>
      </c>
      <c r="T107" s="16">
        <f t="shared" ref="T107:T138" si="50">IF(G107&lt;=$D$14,IF($D$37="льготное",K107,N106*($D$24+3%)/12),0)</f>
        <v>0</v>
      </c>
      <c r="U107" s="26">
        <f t="shared" si="37"/>
        <v>0</v>
      </c>
      <c r="V107" s="26">
        <f t="shared" si="38"/>
        <v>0</v>
      </c>
      <c r="W107" s="3">
        <f t="shared" si="39"/>
        <v>0</v>
      </c>
      <c r="X107" s="16">
        <f t="shared" si="40"/>
        <v>0</v>
      </c>
      <c r="Y107" s="16">
        <f t="shared" si="41"/>
        <v>0</v>
      </c>
      <c r="Z107" s="26">
        <f t="shared" si="42"/>
        <v>0</v>
      </c>
      <c r="AA107" s="26">
        <f t="shared" si="43"/>
        <v>0</v>
      </c>
      <c r="AB107" s="16">
        <f t="shared" si="44"/>
        <v>0</v>
      </c>
    </row>
    <row r="108" spans="7:28" x14ac:dyDescent="0.25">
      <c r="G108">
        <v>99</v>
      </c>
      <c r="H108" s="21">
        <v>46844</v>
      </c>
      <c r="I108" s="16">
        <f t="shared" si="45"/>
        <v>0</v>
      </c>
      <c r="J108" s="16">
        <f t="shared" si="46"/>
        <v>0</v>
      </c>
      <c r="K108" s="16">
        <f t="shared" si="47"/>
        <v>0</v>
      </c>
      <c r="L108" s="26">
        <f t="shared" si="48"/>
        <v>0</v>
      </c>
      <c r="M108" s="26">
        <f t="shared" si="31"/>
        <v>0</v>
      </c>
      <c r="N108" s="16">
        <f t="shared" si="49"/>
        <v>0</v>
      </c>
      <c r="O108" s="16"/>
      <c r="P108" s="16">
        <f t="shared" si="32"/>
        <v>0</v>
      </c>
      <c r="Q108" s="16">
        <f t="shared" si="33"/>
        <v>0</v>
      </c>
      <c r="R108" s="16">
        <f t="shared" si="34"/>
        <v>0</v>
      </c>
      <c r="S108" s="26">
        <f t="shared" si="35"/>
        <v>0</v>
      </c>
      <c r="T108" s="16">
        <f t="shared" si="50"/>
        <v>0</v>
      </c>
      <c r="U108" s="26">
        <f t="shared" si="37"/>
        <v>0</v>
      </c>
      <c r="V108" s="26">
        <f t="shared" si="38"/>
        <v>0</v>
      </c>
      <c r="W108" s="3">
        <f t="shared" si="39"/>
        <v>0</v>
      </c>
      <c r="X108" s="16">
        <f t="shared" si="40"/>
        <v>0</v>
      </c>
      <c r="Y108" s="16">
        <f t="shared" si="41"/>
        <v>0</v>
      </c>
      <c r="Z108" s="26">
        <f t="shared" si="42"/>
        <v>0</v>
      </c>
      <c r="AA108" s="26">
        <f t="shared" si="43"/>
        <v>0</v>
      </c>
      <c r="AB108" s="16">
        <f t="shared" si="44"/>
        <v>0</v>
      </c>
    </row>
    <row r="109" spans="7:28" x14ac:dyDescent="0.25">
      <c r="G109">
        <v>100</v>
      </c>
      <c r="H109" s="21">
        <v>46874</v>
      </c>
      <c r="I109" s="16">
        <f t="shared" si="45"/>
        <v>0</v>
      </c>
      <c r="J109" s="16">
        <f t="shared" si="46"/>
        <v>0</v>
      </c>
      <c r="K109" s="16">
        <f t="shared" si="47"/>
        <v>0</v>
      </c>
      <c r="L109" s="26">
        <f t="shared" si="48"/>
        <v>0</v>
      </c>
      <c r="M109" s="26">
        <f t="shared" si="31"/>
        <v>0</v>
      </c>
      <c r="N109" s="16">
        <f t="shared" si="49"/>
        <v>0</v>
      </c>
      <c r="O109" s="16"/>
      <c r="P109" s="16">
        <f t="shared" si="32"/>
        <v>0</v>
      </c>
      <c r="Q109" s="16">
        <f t="shared" si="33"/>
        <v>0</v>
      </c>
      <c r="R109" s="16">
        <f t="shared" si="34"/>
        <v>0</v>
      </c>
      <c r="S109" s="26">
        <f t="shared" si="35"/>
        <v>0</v>
      </c>
      <c r="T109" s="16">
        <f t="shared" si="50"/>
        <v>0</v>
      </c>
      <c r="U109" s="26">
        <f t="shared" si="37"/>
        <v>0</v>
      </c>
      <c r="V109" s="26">
        <f t="shared" si="38"/>
        <v>0</v>
      </c>
      <c r="W109" s="3">
        <f t="shared" si="39"/>
        <v>0</v>
      </c>
      <c r="X109" s="16">
        <f t="shared" si="40"/>
        <v>0</v>
      </c>
      <c r="Y109" s="16">
        <f t="shared" si="41"/>
        <v>0</v>
      </c>
      <c r="Z109" s="26">
        <f t="shared" si="42"/>
        <v>0</v>
      </c>
      <c r="AA109" s="26">
        <f t="shared" si="43"/>
        <v>0</v>
      </c>
      <c r="AB109" s="16">
        <f t="shared" si="44"/>
        <v>0</v>
      </c>
    </row>
    <row r="110" spans="7:28" x14ac:dyDescent="0.25">
      <c r="G110">
        <v>101</v>
      </c>
      <c r="H110" s="21">
        <v>46905</v>
      </c>
      <c r="I110" s="16">
        <f t="shared" si="45"/>
        <v>0</v>
      </c>
      <c r="J110" s="16">
        <f t="shared" si="46"/>
        <v>0</v>
      </c>
      <c r="K110" s="16">
        <f t="shared" si="47"/>
        <v>0</v>
      </c>
      <c r="L110" s="26">
        <f t="shared" si="48"/>
        <v>0</v>
      </c>
      <c r="M110" s="26">
        <f t="shared" si="31"/>
        <v>0</v>
      </c>
      <c r="N110" s="16">
        <f t="shared" si="49"/>
        <v>0</v>
      </c>
      <c r="O110" s="16"/>
      <c r="P110" s="16">
        <f t="shared" si="32"/>
        <v>0</v>
      </c>
      <c r="Q110" s="16">
        <f t="shared" si="33"/>
        <v>0</v>
      </c>
      <c r="R110" s="16">
        <f t="shared" si="34"/>
        <v>0</v>
      </c>
      <c r="S110" s="26">
        <f t="shared" si="35"/>
        <v>0</v>
      </c>
      <c r="T110" s="16">
        <f t="shared" si="50"/>
        <v>0</v>
      </c>
      <c r="U110" s="26">
        <f t="shared" si="37"/>
        <v>0</v>
      </c>
      <c r="V110" s="26">
        <f t="shared" si="38"/>
        <v>0</v>
      </c>
      <c r="W110" s="3">
        <f t="shared" si="39"/>
        <v>0</v>
      </c>
      <c r="X110" s="16">
        <f t="shared" si="40"/>
        <v>0</v>
      </c>
      <c r="Y110" s="16">
        <f t="shared" si="41"/>
        <v>0</v>
      </c>
      <c r="Z110" s="26">
        <f t="shared" si="42"/>
        <v>0</v>
      </c>
      <c r="AA110" s="26">
        <f t="shared" si="43"/>
        <v>0</v>
      </c>
      <c r="AB110" s="16">
        <f t="shared" si="44"/>
        <v>0</v>
      </c>
    </row>
    <row r="111" spans="7:28" x14ac:dyDescent="0.25">
      <c r="G111">
        <v>102</v>
      </c>
      <c r="H111" s="21">
        <v>46935</v>
      </c>
      <c r="I111" s="16">
        <f t="shared" si="45"/>
        <v>0</v>
      </c>
      <c r="J111" s="16">
        <f t="shared" si="46"/>
        <v>0</v>
      </c>
      <c r="K111" s="16">
        <f t="shared" si="47"/>
        <v>0</v>
      </c>
      <c r="L111" s="26">
        <f t="shared" si="48"/>
        <v>0</v>
      </c>
      <c r="M111" s="26">
        <f t="shared" si="31"/>
        <v>0</v>
      </c>
      <c r="N111" s="16">
        <f t="shared" si="49"/>
        <v>0</v>
      </c>
      <c r="O111" s="16"/>
      <c r="P111" s="16">
        <f t="shared" si="32"/>
        <v>0</v>
      </c>
      <c r="Q111" s="16">
        <f t="shared" si="33"/>
        <v>0</v>
      </c>
      <c r="R111" s="16">
        <f t="shared" si="34"/>
        <v>0</v>
      </c>
      <c r="S111" s="26">
        <f t="shared" si="35"/>
        <v>0</v>
      </c>
      <c r="T111" s="16">
        <f t="shared" si="50"/>
        <v>0</v>
      </c>
      <c r="U111" s="26">
        <f t="shared" si="37"/>
        <v>0</v>
      </c>
      <c r="V111" s="26">
        <f t="shared" si="38"/>
        <v>0</v>
      </c>
      <c r="W111" s="3">
        <f t="shared" si="39"/>
        <v>0</v>
      </c>
      <c r="X111" s="16">
        <f t="shared" si="40"/>
        <v>0</v>
      </c>
      <c r="Y111" s="16">
        <f t="shared" si="41"/>
        <v>0</v>
      </c>
      <c r="Z111" s="26">
        <f t="shared" si="42"/>
        <v>0</v>
      </c>
      <c r="AA111" s="26">
        <f t="shared" si="43"/>
        <v>0</v>
      </c>
      <c r="AB111" s="16">
        <f t="shared" si="44"/>
        <v>0</v>
      </c>
    </row>
    <row r="112" spans="7:28" x14ac:dyDescent="0.25">
      <c r="G112">
        <v>103</v>
      </c>
      <c r="H112" s="21">
        <v>46966</v>
      </c>
      <c r="I112" s="16">
        <f t="shared" si="45"/>
        <v>0</v>
      </c>
      <c r="J112" s="16">
        <f t="shared" si="46"/>
        <v>0</v>
      </c>
      <c r="K112" s="16">
        <f t="shared" si="47"/>
        <v>0</v>
      </c>
      <c r="L112" s="26">
        <f t="shared" si="48"/>
        <v>0</v>
      </c>
      <c r="M112" s="26">
        <f t="shared" si="31"/>
        <v>0</v>
      </c>
      <c r="N112" s="16">
        <f t="shared" si="49"/>
        <v>0</v>
      </c>
      <c r="O112" s="16"/>
      <c r="P112" s="16">
        <f t="shared" si="32"/>
        <v>0</v>
      </c>
      <c r="Q112" s="16">
        <f t="shared" si="33"/>
        <v>0</v>
      </c>
      <c r="R112" s="16">
        <f t="shared" si="34"/>
        <v>0</v>
      </c>
      <c r="S112" s="26">
        <f t="shared" si="35"/>
        <v>0</v>
      </c>
      <c r="T112" s="16">
        <f t="shared" si="50"/>
        <v>0</v>
      </c>
      <c r="U112" s="26">
        <f t="shared" si="37"/>
        <v>0</v>
      </c>
      <c r="V112" s="26">
        <f t="shared" si="38"/>
        <v>0</v>
      </c>
      <c r="W112" s="3">
        <f t="shared" si="39"/>
        <v>0</v>
      </c>
      <c r="X112" s="16">
        <f t="shared" si="40"/>
        <v>0</v>
      </c>
      <c r="Y112" s="16">
        <f t="shared" si="41"/>
        <v>0</v>
      </c>
      <c r="Z112" s="26">
        <f t="shared" si="42"/>
        <v>0</v>
      </c>
      <c r="AA112" s="26">
        <f t="shared" si="43"/>
        <v>0</v>
      </c>
      <c r="AB112" s="16">
        <f t="shared" si="44"/>
        <v>0</v>
      </c>
    </row>
    <row r="113" spans="7:28" x14ac:dyDescent="0.25">
      <c r="G113">
        <v>104</v>
      </c>
      <c r="H113" s="21">
        <v>46997</v>
      </c>
      <c r="I113" s="16">
        <f t="shared" si="45"/>
        <v>0</v>
      </c>
      <c r="J113" s="16">
        <f t="shared" si="46"/>
        <v>0</v>
      </c>
      <c r="K113" s="16">
        <f t="shared" si="47"/>
        <v>0</v>
      </c>
      <c r="L113" s="26">
        <f t="shared" si="48"/>
        <v>0</v>
      </c>
      <c r="M113" s="26">
        <f t="shared" si="31"/>
        <v>0</v>
      </c>
      <c r="N113" s="16">
        <f t="shared" si="49"/>
        <v>0</v>
      </c>
      <c r="O113" s="16"/>
      <c r="P113" s="16">
        <f t="shared" si="32"/>
        <v>0</v>
      </c>
      <c r="Q113" s="16">
        <f t="shared" si="33"/>
        <v>0</v>
      </c>
      <c r="R113" s="16">
        <f t="shared" si="34"/>
        <v>0</v>
      </c>
      <c r="S113" s="26">
        <f t="shared" si="35"/>
        <v>0</v>
      </c>
      <c r="T113" s="16">
        <f t="shared" si="50"/>
        <v>0</v>
      </c>
      <c r="U113" s="26">
        <f t="shared" si="37"/>
        <v>0</v>
      </c>
      <c r="V113" s="26">
        <f t="shared" si="38"/>
        <v>0</v>
      </c>
      <c r="W113" s="3">
        <f t="shared" si="39"/>
        <v>0</v>
      </c>
      <c r="X113" s="16">
        <f t="shared" si="40"/>
        <v>0</v>
      </c>
      <c r="Y113" s="16">
        <f t="shared" si="41"/>
        <v>0</v>
      </c>
      <c r="Z113" s="26">
        <f t="shared" si="42"/>
        <v>0</v>
      </c>
      <c r="AA113" s="26">
        <f t="shared" si="43"/>
        <v>0</v>
      </c>
      <c r="AB113" s="16">
        <f t="shared" si="44"/>
        <v>0</v>
      </c>
    </row>
    <row r="114" spans="7:28" x14ac:dyDescent="0.25">
      <c r="G114">
        <v>105</v>
      </c>
      <c r="H114" s="21">
        <v>47027</v>
      </c>
      <c r="I114" s="16">
        <f t="shared" si="45"/>
        <v>0</v>
      </c>
      <c r="J114" s="16">
        <f t="shared" si="46"/>
        <v>0</v>
      </c>
      <c r="K114" s="16">
        <f t="shared" si="47"/>
        <v>0</v>
      </c>
      <c r="L114" s="26">
        <f t="shared" si="48"/>
        <v>0</v>
      </c>
      <c r="M114" s="26">
        <f t="shared" si="31"/>
        <v>0</v>
      </c>
      <c r="N114" s="16">
        <f t="shared" si="49"/>
        <v>0</v>
      </c>
      <c r="O114" s="16"/>
      <c r="P114" s="16">
        <f t="shared" si="32"/>
        <v>0</v>
      </c>
      <c r="Q114" s="16">
        <f t="shared" si="33"/>
        <v>0</v>
      </c>
      <c r="R114" s="16">
        <f t="shared" si="34"/>
        <v>0</v>
      </c>
      <c r="S114" s="26">
        <f t="shared" si="35"/>
        <v>0</v>
      </c>
      <c r="T114" s="16">
        <f t="shared" si="50"/>
        <v>0</v>
      </c>
      <c r="U114" s="26">
        <f t="shared" si="37"/>
        <v>0</v>
      </c>
      <c r="V114" s="26">
        <f t="shared" si="38"/>
        <v>0</v>
      </c>
      <c r="W114" s="3">
        <f t="shared" si="39"/>
        <v>0</v>
      </c>
      <c r="X114" s="16">
        <f t="shared" si="40"/>
        <v>0</v>
      </c>
      <c r="Y114" s="16">
        <f t="shared" si="41"/>
        <v>0</v>
      </c>
      <c r="Z114" s="26">
        <f t="shared" si="42"/>
        <v>0</v>
      </c>
      <c r="AA114" s="26">
        <f t="shared" si="43"/>
        <v>0</v>
      </c>
      <c r="AB114" s="16">
        <f t="shared" si="44"/>
        <v>0</v>
      </c>
    </row>
    <row r="115" spans="7:28" x14ac:dyDescent="0.25">
      <c r="G115">
        <v>106</v>
      </c>
      <c r="H115" s="21">
        <v>47058</v>
      </c>
      <c r="I115" s="16">
        <f t="shared" si="45"/>
        <v>0</v>
      </c>
      <c r="J115" s="16">
        <f t="shared" si="46"/>
        <v>0</v>
      </c>
      <c r="K115" s="16">
        <f t="shared" si="47"/>
        <v>0</v>
      </c>
      <c r="L115" s="26">
        <f t="shared" si="48"/>
        <v>0</v>
      </c>
      <c r="M115" s="26">
        <f t="shared" si="31"/>
        <v>0</v>
      </c>
      <c r="N115" s="16">
        <f t="shared" si="49"/>
        <v>0</v>
      </c>
      <c r="O115" s="16"/>
      <c r="P115" s="16">
        <f t="shared" si="32"/>
        <v>0</v>
      </c>
      <c r="Q115" s="16">
        <f t="shared" si="33"/>
        <v>0</v>
      </c>
      <c r="R115" s="16">
        <f t="shared" si="34"/>
        <v>0</v>
      </c>
      <c r="S115" s="26">
        <f t="shared" si="35"/>
        <v>0</v>
      </c>
      <c r="T115" s="16">
        <f t="shared" si="50"/>
        <v>0</v>
      </c>
      <c r="U115" s="26">
        <f t="shared" si="37"/>
        <v>0</v>
      </c>
      <c r="V115" s="26">
        <f t="shared" si="38"/>
        <v>0</v>
      </c>
      <c r="W115" s="3">
        <f t="shared" si="39"/>
        <v>0</v>
      </c>
      <c r="X115" s="16">
        <f t="shared" si="40"/>
        <v>0</v>
      </c>
      <c r="Y115" s="16">
        <f t="shared" si="41"/>
        <v>0</v>
      </c>
      <c r="Z115" s="26">
        <f t="shared" si="42"/>
        <v>0</v>
      </c>
      <c r="AA115" s="26">
        <f t="shared" si="43"/>
        <v>0</v>
      </c>
      <c r="AB115" s="16">
        <f t="shared" si="44"/>
        <v>0</v>
      </c>
    </row>
    <row r="116" spans="7:28" x14ac:dyDescent="0.25">
      <c r="G116">
        <v>107</v>
      </c>
      <c r="H116" s="21">
        <v>47088</v>
      </c>
      <c r="I116" s="16">
        <f t="shared" si="45"/>
        <v>0</v>
      </c>
      <c r="J116" s="16">
        <f t="shared" si="46"/>
        <v>0</v>
      </c>
      <c r="K116" s="16">
        <f t="shared" si="47"/>
        <v>0</v>
      </c>
      <c r="L116" s="26">
        <f t="shared" si="48"/>
        <v>0</v>
      </c>
      <c r="M116" s="26">
        <f t="shared" si="31"/>
        <v>0</v>
      </c>
      <c r="N116" s="16">
        <f t="shared" si="49"/>
        <v>0</v>
      </c>
      <c r="O116" s="16"/>
      <c r="P116" s="16">
        <f t="shared" si="32"/>
        <v>0</v>
      </c>
      <c r="Q116" s="16">
        <f t="shared" si="33"/>
        <v>0</v>
      </c>
      <c r="R116" s="16">
        <f t="shared" si="34"/>
        <v>0</v>
      </c>
      <c r="S116" s="26">
        <f t="shared" si="35"/>
        <v>0</v>
      </c>
      <c r="T116" s="16">
        <f t="shared" si="50"/>
        <v>0</v>
      </c>
      <c r="U116" s="26">
        <f t="shared" si="37"/>
        <v>0</v>
      </c>
      <c r="V116" s="26">
        <f t="shared" si="38"/>
        <v>0</v>
      </c>
      <c r="W116" s="3">
        <f t="shared" si="39"/>
        <v>0</v>
      </c>
      <c r="X116" s="16">
        <f t="shared" si="40"/>
        <v>0</v>
      </c>
      <c r="Y116" s="16">
        <f t="shared" si="41"/>
        <v>0</v>
      </c>
      <c r="Z116" s="26">
        <f t="shared" si="42"/>
        <v>0</v>
      </c>
      <c r="AA116" s="26">
        <f t="shared" si="43"/>
        <v>0</v>
      </c>
      <c r="AB116" s="16">
        <f t="shared" si="44"/>
        <v>0</v>
      </c>
    </row>
    <row r="117" spans="7:28" x14ac:dyDescent="0.25">
      <c r="G117">
        <v>108</v>
      </c>
      <c r="H117" s="21">
        <v>47119</v>
      </c>
      <c r="I117" s="16">
        <f t="shared" si="45"/>
        <v>0</v>
      </c>
      <c r="J117" s="16">
        <f t="shared" si="46"/>
        <v>0</v>
      </c>
      <c r="K117" s="16">
        <f t="shared" si="47"/>
        <v>0</v>
      </c>
      <c r="L117" s="26">
        <f t="shared" si="48"/>
        <v>0</v>
      </c>
      <c r="M117" s="26">
        <f t="shared" si="31"/>
        <v>0</v>
      </c>
      <c r="N117" s="16">
        <f t="shared" si="49"/>
        <v>0</v>
      </c>
      <c r="O117" s="16"/>
      <c r="P117" s="16">
        <f t="shared" si="32"/>
        <v>0</v>
      </c>
      <c r="Q117" s="16">
        <f t="shared" si="33"/>
        <v>0</v>
      </c>
      <c r="R117" s="16">
        <f t="shared" si="34"/>
        <v>0</v>
      </c>
      <c r="S117" s="26">
        <f t="shared" si="35"/>
        <v>0</v>
      </c>
      <c r="T117" s="16">
        <f t="shared" si="50"/>
        <v>0</v>
      </c>
      <c r="U117" s="26">
        <f t="shared" si="37"/>
        <v>0</v>
      </c>
      <c r="V117" s="26">
        <f t="shared" si="38"/>
        <v>0</v>
      </c>
      <c r="W117" s="3">
        <f t="shared" si="39"/>
        <v>0</v>
      </c>
      <c r="X117" s="16">
        <f t="shared" si="40"/>
        <v>0</v>
      </c>
      <c r="Y117" s="16">
        <f t="shared" si="41"/>
        <v>0</v>
      </c>
      <c r="Z117" s="26">
        <f t="shared" si="42"/>
        <v>0</v>
      </c>
      <c r="AA117" s="26">
        <f t="shared" si="43"/>
        <v>0</v>
      </c>
      <c r="AB117" s="16">
        <f t="shared" si="44"/>
        <v>0</v>
      </c>
    </row>
    <row r="118" spans="7:28" x14ac:dyDescent="0.25">
      <c r="G118">
        <v>109</v>
      </c>
      <c r="H118" s="21">
        <v>47150</v>
      </c>
      <c r="I118" s="16">
        <f t="shared" si="45"/>
        <v>0</v>
      </c>
      <c r="J118" s="16">
        <f t="shared" si="46"/>
        <v>0</v>
      </c>
      <c r="K118" s="16">
        <f t="shared" si="47"/>
        <v>0</v>
      </c>
      <c r="L118" s="26">
        <f t="shared" si="48"/>
        <v>0</v>
      </c>
      <c r="M118" s="26">
        <f t="shared" si="31"/>
        <v>0</v>
      </c>
      <c r="N118" s="16">
        <f t="shared" si="49"/>
        <v>0</v>
      </c>
      <c r="O118" s="16"/>
      <c r="P118" s="16">
        <f t="shared" si="32"/>
        <v>0</v>
      </c>
      <c r="Q118" s="16">
        <f t="shared" si="33"/>
        <v>0</v>
      </c>
      <c r="R118" s="16">
        <f t="shared" si="34"/>
        <v>0</v>
      </c>
      <c r="S118" s="26">
        <f t="shared" si="35"/>
        <v>0</v>
      </c>
      <c r="T118" s="16">
        <f t="shared" si="50"/>
        <v>0</v>
      </c>
      <c r="U118" s="26">
        <f t="shared" si="37"/>
        <v>0</v>
      </c>
      <c r="V118" s="26">
        <f t="shared" si="38"/>
        <v>0</v>
      </c>
      <c r="W118" s="3">
        <f t="shared" si="39"/>
        <v>0</v>
      </c>
      <c r="X118" s="16">
        <f t="shared" si="40"/>
        <v>0</v>
      </c>
      <c r="Y118" s="16">
        <f t="shared" si="41"/>
        <v>0</v>
      </c>
      <c r="Z118" s="26">
        <f t="shared" si="42"/>
        <v>0</v>
      </c>
      <c r="AA118" s="26">
        <f t="shared" si="43"/>
        <v>0</v>
      </c>
      <c r="AB118" s="16">
        <f t="shared" si="44"/>
        <v>0</v>
      </c>
    </row>
    <row r="119" spans="7:28" x14ac:dyDescent="0.25">
      <c r="G119">
        <v>110</v>
      </c>
      <c r="H119" s="21">
        <v>47178</v>
      </c>
      <c r="I119" s="16">
        <f t="shared" si="45"/>
        <v>0</v>
      </c>
      <c r="J119" s="16">
        <f t="shared" si="46"/>
        <v>0</v>
      </c>
      <c r="K119" s="16">
        <f t="shared" si="47"/>
        <v>0</v>
      </c>
      <c r="L119" s="26">
        <f t="shared" si="48"/>
        <v>0</v>
      </c>
      <c r="M119" s="26">
        <f t="shared" si="31"/>
        <v>0</v>
      </c>
      <c r="N119" s="16">
        <f t="shared" si="49"/>
        <v>0</v>
      </c>
      <c r="O119" s="16"/>
      <c r="P119" s="16">
        <f t="shared" si="32"/>
        <v>0</v>
      </c>
      <c r="Q119" s="16">
        <f t="shared" si="33"/>
        <v>0</v>
      </c>
      <c r="R119" s="16">
        <f t="shared" si="34"/>
        <v>0</v>
      </c>
      <c r="S119" s="26">
        <f t="shared" si="35"/>
        <v>0</v>
      </c>
      <c r="T119" s="16">
        <f t="shared" si="50"/>
        <v>0</v>
      </c>
      <c r="U119" s="26">
        <f t="shared" si="37"/>
        <v>0</v>
      </c>
      <c r="V119" s="26">
        <f t="shared" si="38"/>
        <v>0</v>
      </c>
      <c r="W119" s="3">
        <f t="shared" si="39"/>
        <v>0</v>
      </c>
      <c r="X119" s="16">
        <f t="shared" si="40"/>
        <v>0</v>
      </c>
      <c r="Y119" s="16">
        <f t="shared" si="41"/>
        <v>0</v>
      </c>
      <c r="Z119" s="26">
        <f t="shared" si="42"/>
        <v>0</v>
      </c>
      <c r="AA119" s="26">
        <f t="shared" si="43"/>
        <v>0</v>
      </c>
      <c r="AB119" s="16">
        <f t="shared" si="44"/>
        <v>0</v>
      </c>
    </row>
    <row r="120" spans="7:28" x14ac:dyDescent="0.25">
      <c r="G120">
        <v>111</v>
      </c>
      <c r="H120" s="21">
        <v>47209</v>
      </c>
      <c r="I120" s="16">
        <f t="shared" si="45"/>
        <v>0</v>
      </c>
      <c r="J120" s="16">
        <f t="shared" si="46"/>
        <v>0</v>
      </c>
      <c r="K120" s="16">
        <f t="shared" si="47"/>
        <v>0</v>
      </c>
      <c r="L120" s="26">
        <f t="shared" si="48"/>
        <v>0</v>
      </c>
      <c r="M120" s="26">
        <f t="shared" si="31"/>
        <v>0</v>
      </c>
      <c r="N120" s="16">
        <f t="shared" si="49"/>
        <v>0</v>
      </c>
      <c r="O120" s="16"/>
      <c r="P120" s="16">
        <f t="shared" si="32"/>
        <v>0</v>
      </c>
      <c r="Q120" s="16">
        <f t="shared" si="33"/>
        <v>0</v>
      </c>
      <c r="R120" s="16">
        <f t="shared" si="34"/>
        <v>0</v>
      </c>
      <c r="S120" s="26">
        <f t="shared" si="35"/>
        <v>0</v>
      </c>
      <c r="T120" s="16">
        <f t="shared" si="50"/>
        <v>0</v>
      </c>
      <c r="U120" s="26">
        <f t="shared" si="37"/>
        <v>0</v>
      </c>
      <c r="V120" s="26">
        <f t="shared" si="38"/>
        <v>0</v>
      </c>
      <c r="W120" s="3">
        <f t="shared" si="39"/>
        <v>0</v>
      </c>
      <c r="X120" s="16">
        <f t="shared" si="40"/>
        <v>0</v>
      </c>
      <c r="Y120" s="16">
        <f t="shared" si="41"/>
        <v>0</v>
      </c>
      <c r="Z120" s="26">
        <f t="shared" si="42"/>
        <v>0</v>
      </c>
      <c r="AA120" s="26">
        <f t="shared" si="43"/>
        <v>0</v>
      </c>
      <c r="AB120" s="16">
        <f t="shared" si="44"/>
        <v>0</v>
      </c>
    </row>
    <row r="121" spans="7:28" x14ac:dyDescent="0.25">
      <c r="G121">
        <v>112</v>
      </c>
      <c r="H121" s="21">
        <v>47239</v>
      </c>
      <c r="I121" s="16">
        <f t="shared" si="45"/>
        <v>0</v>
      </c>
      <c r="J121" s="16">
        <f t="shared" si="46"/>
        <v>0</v>
      </c>
      <c r="K121" s="16">
        <f t="shared" si="47"/>
        <v>0</v>
      </c>
      <c r="L121" s="26">
        <f t="shared" si="48"/>
        <v>0</v>
      </c>
      <c r="M121" s="26">
        <f t="shared" si="31"/>
        <v>0</v>
      </c>
      <c r="N121" s="16">
        <f t="shared" si="49"/>
        <v>0</v>
      </c>
      <c r="O121" s="16"/>
      <c r="P121" s="16">
        <f t="shared" si="32"/>
        <v>0</v>
      </c>
      <c r="Q121" s="16">
        <f t="shared" si="33"/>
        <v>0</v>
      </c>
      <c r="R121" s="16">
        <f t="shared" si="34"/>
        <v>0</v>
      </c>
      <c r="S121" s="26">
        <f t="shared" si="35"/>
        <v>0</v>
      </c>
      <c r="T121" s="16">
        <f t="shared" si="50"/>
        <v>0</v>
      </c>
      <c r="U121" s="26">
        <f t="shared" si="37"/>
        <v>0</v>
      </c>
      <c r="V121" s="26">
        <f t="shared" si="38"/>
        <v>0</v>
      </c>
      <c r="W121" s="3">
        <f t="shared" si="39"/>
        <v>0</v>
      </c>
      <c r="X121" s="16">
        <f t="shared" si="40"/>
        <v>0</v>
      </c>
      <c r="Y121" s="16">
        <f t="shared" si="41"/>
        <v>0</v>
      </c>
      <c r="Z121" s="26">
        <f t="shared" si="42"/>
        <v>0</v>
      </c>
      <c r="AA121" s="26">
        <f t="shared" si="43"/>
        <v>0</v>
      </c>
      <c r="AB121" s="16">
        <f t="shared" si="44"/>
        <v>0</v>
      </c>
    </row>
    <row r="122" spans="7:28" x14ac:dyDescent="0.25">
      <c r="G122">
        <v>113</v>
      </c>
      <c r="H122" s="21">
        <v>47270</v>
      </c>
      <c r="I122" s="16">
        <f t="shared" si="45"/>
        <v>0</v>
      </c>
      <c r="J122" s="16">
        <f t="shared" si="46"/>
        <v>0</v>
      </c>
      <c r="K122" s="16">
        <f t="shared" si="47"/>
        <v>0</v>
      </c>
      <c r="L122" s="26">
        <f t="shared" si="48"/>
        <v>0</v>
      </c>
      <c r="M122" s="26">
        <f t="shared" si="31"/>
        <v>0</v>
      </c>
      <c r="N122" s="16">
        <f t="shared" si="49"/>
        <v>0</v>
      </c>
      <c r="O122" s="16"/>
      <c r="P122" s="16">
        <f t="shared" si="32"/>
        <v>0</v>
      </c>
      <c r="Q122" s="16">
        <f t="shared" si="33"/>
        <v>0</v>
      </c>
      <c r="R122" s="16">
        <f t="shared" si="34"/>
        <v>0</v>
      </c>
      <c r="S122" s="26">
        <f t="shared" si="35"/>
        <v>0</v>
      </c>
      <c r="T122" s="16">
        <f t="shared" si="50"/>
        <v>0</v>
      </c>
      <c r="U122" s="26">
        <f t="shared" si="37"/>
        <v>0</v>
      </c>
      <c r="V122" s="26">
        <f t="shared" si="38"/>
        <v>0</v>
      </c>
      <c r="W122" s="3">
        <f t="shared" si="39"/>
        <v>0</v>
      </c>
      <c r="X122" s="16">
        <f t="shared" si="40"/>
        <v>0</v>
      </c>
      <c r="Y122" s="16">
        <f t="shared" si="41"/>
        <v>0</v>
      </c>
      <c r="Z122" s="26">
        <f t="shared" si="42"/>
        <v>0</v>
      </c>
      <c r="AA122" s="26">
        <f t="shared" si="43"/>
        <v>0</v>
      </c>
      <c r="AB122" s="16">
        <f t="shared" si="44"/>
        <v>0</v>
      </c>
    </row>
    <row r="123" spans="7:28" x14ac:dyDescent="0.25">
      <c r="G123">
        <v>114</v>
      </c>
      <c r="H123" s="21">
        <v>47300</v>
      </c>
      <c r="I123" s="16">
        <f t="shared" si="45"/>
        <v>0</v>
      </c>
      <c r="J123" s="16">
        <f t="shared" si="46"/>
        <v>0</v>
      </c>
      <c r="K123" s="16">
        <f t="shared" si="47"/>
        <v>0</v>
      </c>
      <c r="L123" s="26">
        <f t="shared" si="48"/>
        <v>0</v>
      </c>
      <c r="M123" s="26">
        <f t="shared" si="31"/>
        <v>0</v>
      </c>
      <c r="N123" s="16">
        <f t="shared" si="49"/>
        <v>0</v>
      </c>
      <c r="O123" s="16"/>
      <c r="P123" s="16">
        <f t="shared" si="32"/>
        <v>0</v>
      </c>
      <c r="Q123" s="16">
        <f t="shared" si="33"/>
        <v>0</v>
      </c>
      <c r="R123" s="16">
        <f t="shared" si="34"/>
        <v>0</v>
      </c>
      <c r="S123" s="26">
        <f t="shared" si="35"/>
        <v>0</v>
      </c>
      <c r="T123" s="16">
        <f t="shared" si="50"/>
        <v>0</v>
      </c>
      <c r="U123" s="26">
        <f t="shared" si="37"/>
        <v>0</v>
      </c>
      <c r="V123" s="26">
        <f t="shared" si="38"/>
        <v>0</v>
      </c>
      <c r="W123" s="3">
        <f t="shared" si="39"/>
        <v>0</v>
      </c>
      <c r="X123" s="16">
        <f t="shared" si="40"/>
        <v>0</v>
      </c>
      <c r="Y123" s="16">
        <f t="shared" si="41"/>
        <v>0</v>
      </c>
      <c r="Z123" s="26">
        <f t="shared" si="42"/>
        <v>0</v>
      </c>
      <c r="AA123" s="26">
        <f t="shared" si="43"/>
        <v>0</v>
      </c>
      <c r="AB123" s="16">
        <f t="shared" si="44"/>
        <v>0</v>
      </c>
    </row>
    <row r="124" spans="7:28" x14ac:dyDescent="0.25">
      <c r="G124">
        <v>115</v>
      </c>
      <c r="H124" s="21">
        <v>47331</v>
      </c>
      <c r="I124" s="16">
        <f t="shared" si="45"/>
        <v>0</v>
      </c>
      <c r="J124" s="16">
        <f t="shared" si="46"/>
        <v>0</v>
      </c>
      <c r="K124" s="16">
        <f t="shared" si="47"/>
        <v>0</v>
      </c>
      <c r="L124" s="26">
        <f t="shared" si="48"/>
        <v>0</v>
      </c>
      <c r="M124" s="26">
        <f t="shared" si="31"/>
        <v>0</v>
      </c>
      <c r="N124" s="16">
        <f t="shared" si="49"/>
        <v>0</v>
      </c>
      <c r="O124" s="16"/>
      <c r="P124" s="16">
        <f t="shared" si="32"/>
        <v>0</v>
      </c>
      <c r="Q124" s="16">
        <f t="shared" si="33"/>
        <v>0</v>
      </c>
      <c r="R124" s="16">
        <f t="shared" si="34"/>
        <v>0</v>
      </c>
      <c r="S124" s="26">
        <f t="shared" si="35"/>
        <v>0</v>
      </c>
      <c r="T124" s="16">
        <f t="shared" si="50"/>
        <v>0</v>
      </c>
      <c r="U124" s="26">
        <f t="shared" si="37"/>
        <v>0</v>
      </c>
      <c r="V124" s="26">
        <f t="shared" si="38"/>
        <v>0</v>
      </c>
      <c r="W124" s="3">
        <f t="shared" si="39"/>
        <v>0</v>
      </c>
      <c r="X124" s="16">
        <f t="shared" si="40"/>
        <v>0</v>
      </c>
      <c r="Y124" s="16">
        <f t="shared" si="41"/>
        <v>0</v>
      </c>
      <c r="Z124" s="26">
        <f t="shared" si="42"/>
        <v>0</v>
      </c>
      <c r="AA124" s="26">
        <f t="shared" si="43"/>
        <v>0</v>
      </c>
      <c r="AB124" s="16">
        <f t="shared" si="44"/>
        <v>0</v>
      </c>
    </row>
    <row r="125" spans="7:28" x14ac:dyDescent="0.25">
      <c r="G125">
        <v>116</v>
      </c>
      <c r="H125" s="21">
        <v>47362</v>
      </c>
      <c r="I125" s="16">
        <f t="shared" si="45"/>
        <v>0</v>
      </c>
      <c r="J125" s="16">
        <f t="shared" si="46"/>
        <v>0</v>
      </c>
      <c r="K125" s="16">
        <f t="shared" si="47"/>
        <v>0</v>
      </c>
      <c r="L125" s="26">
        <f t="shared" si="48"/>
        <v>0</v>
      </c>
      <c r="M125" s="26">
        <f t="shared" si="31"/>
        <v>0</v>
      </c>
      <c r="N125" s="16">
        <f t="shared" si="49"/>
        <v>0</v>
      </c>
      <c r="O125" s="16"/>
      <c r="P125" s="16">
        <f t="shared" si="32"/>
        <v>0</v>
      </c>
      <c r="Q125" s="16">
        <f t="shared" si="33"/>
        <v>0</v>
      </c>
      <c r="R125" s="16">
        <f t="shared" si="34"/>
        <v>0</v>
      </c>
      <c r="S125" s="26">
        <f t="shared" si="35"/>
        <v>0</v>
      </c>
      <c r="T125" s="16">
        <f t="shared" si="50"/>
        <v>0</v>
      </c>
      <c r="U125" s="26">
        <f t="shared" si="37"/>
        <v>0</v>
      </c>
      <c r="V125" s="26">
        <f t="shared" si="38"/>
        <v>0</v>
      </c>
      <c r="W125" s="3">
        <f t="shared" si="39"/>
        <v>0</v>
      </c>
      <c r="X125" s="16">
        <f t="shared" si="40"/>
        <v>0</v>
      </c>
      <c r="Y125" s="16">
        <f t="shared" si="41"/>
        <v>0</v>
      </c>
      <c r="Z125" s="26">
        <f t="shared" si="42"/>
        <v>0</v>
      </c>
      <c r="AA125" s="26">
        <f t="shared" si="43"/>
        <v>0</v>
      </c>
      <c r="AB125" s="16">
        <f t="shared" si="44"/>
        <v>0</v>
      </c>
    </row>
    <row r="126" spans="7:28" x14ac:dyDescent="0.25">
      <c r="G126">
        <v>117</v>
      </c>
      <c r="H126" s="21">
        <v>47392</v>
      </c>
      <c r="I126" s="16">
        <f t="shared" si="45"/>
        <v>0</v>
      </c>
      <c r="J126" s="16">
        <f t="shared" si="46"/>
        <v>0</v>
      </c>
      <c r="K126" s="16">
        <f t="shared" si="47"/>
        <v>0</v>
      </c>
      <c r="L126" s="26">
        <f t="shared" si="48"/>
        <v>0</v>
      </c>
      <c r="M126" s="26">
        <f t="shared" si="31"/>
        <v>0</v>
      </c>
      <c r="N126" s="16">
        <f t="shared" si="49"/>
        <v>0</v>
      </c>
      <c r="O126" s="16"/>
      <c r="P126" s="16">
        <f t="shared" si="32"/>
        <v>0</v>
      </c>
      <c r="Q126" s="16">
        <f t="shared" si="33"/>
        <v>0</v>
      </c>
      <c r="R126" s="16">
        <f t="shared" si="34"/>
        <v>0</v>
      </c>
      <c r="S126" s="26">
        <f t="shared" si="35"/>
        <v>0</v>
      </c>
      <c r="T126" s="16">
        <f t="shared" si="50"/>
        <v>0</v>
      </c>
      <c r="U126" s="26">
        <f t="shared" si="37"/>
        <v>0</v>
      </c>
      <c r="V126" s="26">
        <f t="shared" si="38"/>
        <v>0</v>
      </c>
      <c r="W126" s="3">
        <f t="shared" si="39"/>
        <v>0</v>
      </c>
      <c r="X126" s="16">
        <f t="shared" si="40"/>
        <v>0</v>
      </c>
      <c r="Y126" s="16">
        <f t="shared" si="41"/>
        <v>0</v>
      </c>
      <c r="Z126" s="26">
        <f t="shared" si="42"/>
        <v>0</v>
      </c>
      <c r="AA126" s="26">
        <f t="shared" si="43"/>
        <v>0</v>
      </c>
      <c r="AB126" s="16">
        <f t="shared" si="44"/>
        <v>0</v>
      </c>
    </row>
    <row r="127" spans="7:28" x14ac:dyDescent="0.25">
      <c r="G127">
        <v>118</v>
      </c>
      <c r="H127" s="21">
        <v>47423</v>
      </c>
      <c r="I127" s="16">
        <f t="shared" si="45"/>
        <v>0</v>
      </c>
      <c r="J127" s="16">
        <f t="shared" si="46"/>
        <v>0</v>
      </c>
      <c r="K127" s="16">
        <f t="shared" si="47"/>
        <v>0</v>
      </c>
      <c r="L127" s="26">
        <f t="shared" si="48"/>
        <v>0</v>
      </c>
      <c r="M127" s="26">
        <f t="shared" si="31"/>
        <v>0</v>
      </c>
      <c r="N127" s="16">
        <f t="shared" si="49"/>
        <v>0</v>
      </c>
      <c r="O127" s="16"/>
      <c r="P127" s="16">
        <f t="shared" si="32"/>
        <v>0</v>
      </c>
      <c r="Q127" s="16">
        <f t="shared" si="33"/>
        <v>0</v>
      </c>
      <c r="R127" s="16">
        <f t="shared" si="34"/>
        <v>0</v>
      </c>
      <c r="S127" s="26">
        <f t="shared" si="35"/>
        <v>0</v>
      </c>
      <c r="T127" s="16">
        <f t="shared" si="50"/>
        <v>0</v>
      </c>
      <c r="U127" s="26">
        <f t="shared" si="37"/>
        <v>0</v>
      </c>
      <c r="V127" s="26">
        <f t="shared" si="38"/>
        <v>0</v>
      </c>
      <c r="W127" s="3">
        <f t="shared" si="39"/>
        <v>0</v>
      </c>
      <c r="X127" s="16">
        <f t="shared" si="40"/>
        <v>0</v>
      </c>
      <c r="Y127" s="16">
        <f t="shared" si="41"/>
        <v>0</v>
      </c>
      <c r="Z127" s="26">
        <f t="shared" si="42"/>
        <v>0</v>
      </c>
      <c r="AA127" s="26">
        <f t="shared" si="43"/>
        <v>0</v>
      </c>
      <c r="AB127" s="16">
        <f t="shared" si="44"/>
        <v>0</v>
      </c>
    </row>
    <row r="128" spans="7:28" x14ac:dyDescent="0.25">
      <c r="G128">
        <v>119</v>
      </c>
      <c r="H128" s="21">
        <v>47453</v>
      </c>
      <c r="I128" s="16">
        <f t="shared" si="45"/>
        <v>0</v>
      </c>
      <c r="J128" s="16">
        <f t="shared" si="46"/>
        <v>0</v>
      </c>
      <c r="K128" s="16">
        <f t="shared" si="47"/>
        <v>0</v>
      </c>
      <c r="L128" s="26">
        <f t="shared" si="48"/>
        <v>0</v>
      </c>
      <c r="M128" s="26">
        <f t="shared" si="31"/>
        <v>0</v>
      </c>
      <c r="N128" s="16">
        <f t="shared" si="49"/>
        <v>0</v>
      </c>
      <c r="O128" s="16"/>
      <c r="P128" s="16">
        <f t="shared" si="32"/>
        <v>0</v>
      </c>
      <c r="Q128" s="16">
        <f t="shared" si="33"/>
        <v>0</v>
      </c>
      <c r="R128" s="16">
        <f t="shared" si="34"/>
        <v>0</v>
      </c>
      <c r="S128" s="26">
        <f t="shared" si="35"/>
        <v>0</v>
      </c>
      <c r="T128" s="16">
        <f t="shared" si="50"/>
        <v>0</v>
      </c>
      <c r="U128" s="26">
        <f t="shared" si="37"/>
        <v>0</v>
      </c>
      <c r="V128" s="26">
        <f t="shared" si="38"/>
        <v>0</v>
      </c>
      <c r="W128" s="3">
        <f t="shared" si="39"/>
        <v>0</v>
      </c>
      <c r="X128" s="16">
        <f t="shared" si="40"/>
        <v>0</v>
      </c>
      <c r="Y128" s="16">
        <f t="shared" si="41"/>
        <v>0</v>
      </c>
      <c r="Z128" s="26">
        <f t="shared" si="42"/>
        <v>0</v>
      </c>
      <c r="AA128" s="26">
        <f t="shared" si="43"/>
        <v>0</v>
      </c>
      <c r="AB128" s="16">
        <f t="shared" si="44"/>
        <v>0</v>
      </c>
    </row>
    <row r="129" spans="7:28" x14ac:dyDescent="0.25">
      <c r="G129">
        <v>120</v>
      </c>
      <c r="H129" s="21">
        <v>47484</v>
      </c>
      <c r="I129" s="16">
        <f t="shared" si="45"/>
        <v>0</v>
      </c>
      <c r="J129" s="16">
        <f t="shared" si="46"/>
        <v>0</v>
      </c>
      <c r="K129" s="16">
        <f t="shared" si="47"/>
        <v>0</v>
      </c>
      <c r="L129" s="26">
        <f t="shared" si="48"/>
        <v>0</v>
      </c>
      <c r="M129" s="26">
        <f t="shared" si="31"/>
        <v>0</v>
      </c>
      <c r="N129" s="16">
        <f t="shared" si="49"/>
        <v>0</v>
      </c>
      <c r="O129" s="16"/>
      <c r="P129" s="16">
        <f t="shared" si="32"/>
        <v>0</v>
      </c>
      <c r="Q129" s="16">
        <f t="shared" si="33"/>
        <v>0</v>
      </c>
      <c r="R129" s="16">
        <f t="shared" si="34"/>
        <v>0</v>
      </c>
      <c r="S129" s="26">
        <f t="shared" si="35"/>
        <v>0</v>
      </c>
      <c r="T129" s="16">
        <f t="shared" si="50"/>
        <v>0</v>
      </c>
      <c r="U129" s="26">
        <f t="shared" si="37"/>
        <v>0</v>
      </c>
      <c r="V129" s="26">
        <f t="shared" si="38"/>
        <v>0</v>
      </c>
      <c r="W129" s="3">
        <f t="shared" si="39"/>
        <v>0</v>
      </c>
      <c r="X129" s="16">
        <f t="shared" si="40"/>
        <v>0</v>
      </c>
      <c r="Y129" s="16">
        <f t="shared" si="41"/>
        <v>0</v>
      </c>
      <c r="Z129" s="26">
        <f t="shared" si="42"/>
        <v>0</v>
      </c>
      <c r="AA129" s="26">
        <f t="shared" si="43"/>
        <v>0</v>
      </c>
      <c r="AB129" s="16">
        <f t="shared" si="44"/>
        <v>0</v>
      </c>
    </row>
    <row r="130" spans="7:28" x14ac:dyDescent="0.25">
      <c r="G130">
        <v>121</v>
      </c>
      <c r="H130" s="21">
        <v>47515</v>
      </c>
      <c r="I130" s="16">
        <f t="shared" si="45"/>
        <v>0</v>
      </c>
      <c r="J130" s="16">
        <f t="shared" si="46"/>
        <v>0</v>
      </c>
      <c r="K130" s="16">
        <f t="shared" si="47"/>
        <v>0</v>
      </c>
      <c r="L130" s="26">
        <f t="shared" si="48"/>
        <v>0</v>
      </c>
      <c r="M130" s="26">
        <f t="shared" si="31"/>
        <v>0</v>
      </c>
      <c r="N130" s="16">
        <f t="shared" si="49"/>
        <v>0</v>
      </c>
      <c r="O130" s="16"/>
      <c r="P130" s="16">
        <f t="shared" si="32"/>
        <v>0</v>
      </c>
      <c r="Q130" s="16">
        <f t="shared" si="33"/>
        <v>0</v>
      </c>
      <c r="R130" s="16">
        <f t="shared" si="34"/>
        <v>0</v>
      </c>
      <c r="S130" s="26">
        <f t="shared" si="35"/>
        <v>0</v>
      </c>
      <c r="T130" s="16">
        <f t="shared" si="50"/>
        <v>0</v>
      </c>
      <c r="U130" s="26">
        <f t="shared" si="37"/>
        <v>0</v>
      </c>
      <c r="V130" s="26">
        <f t="shared" si="38"/>
        <v>0</v>
      </c>
      <c r="W130" s="3">
        <f t="shared" si="39"/>
        <v>0</v>
      </c>
      <c r="X130" s="16">
        <f t="shared" si="40"/>
        <v>0</v>
      </c>
      <c r="Y130" s="16">
        <f t="shared" si="41"/>
        <v>0</v>
      </c>
      <c r="Z130" s="26">
        <f t="shared" si="42"/>
        <v>0</v>
      </c>
      <c r="AA130" s="26">
        <f t="shared" si="43"/>
        <v>0</v>
      </c>
      <c r="AB130" s="16">
        <f t="shared" si="44"/>
        <v>0</v>
      </c>
    </row>
    <row r="131" spans="7:28" x14ac:dyDescent="0.25">
      <c r="G131">
        <v>122</v>
      </c>
      <c r="H131" s="21">
        <v>47543</v>
      </c>
      <c r="I131" s="16">
        <f t="shared" si="45"/>
        <v>0</v>
      </c>
      <c r="J131" s="16">
        <f t="shared" si="46"/>
        <v>0</v>
      </c>
      <c r="K131" s="16">
        <f t="shared" si="47"/>
        <v>0</v>
      </c>
      <c r="L131" s="26">
        <f t="shared" si="48"/>
        <v>0</v>
      </c>
      <c r="M131" s="26">
        <f t="shared" si="31"/>
        <v>0</v>
      </c>
      <c r="N131" s="16">
        <f t="shared" si="49"/>
        <v>0</v>
      </c>
      <c r="O131" s="16"/>
      <c r="P131" s="16">
        <f t="shared" si="32"/>
        <v>0</v>
      </c>
      <c r="Q131" s="16">
        <f t="shared" si="33"/>
        <v>0</v>
      </c>
      <c r="R131" s="16">
        <f t="shared" si="34"/>
        <v>0</v>
      </c>
      <c r="S131" s="26">
        <f t="shared" si="35"/>
        <v>0</v>
      </c>
      <c r="T131" s="16">
        <f t="shared" si="50"/>
        <v>0</v>
      </c>
      <c r="U131" s="26">
        <f t="shared" si="37"/>
        <v>0</v>
      </c>
      <c r="V131" s="26">
        <f t="shared" si="38"/>
        <v>0</v>
      </c>
      <c r="W131" s="3">
        <f t="shared" si="39"/>
        <v>0</v>
      </c>
      <c r="X131" s="16">
        <f t="shared" si="40"/>
        <v>0</v>
      </c>
      <c r="Y131" s="16">
        <f t="shared" si="41"/>
        <v>0</v>
      </c>
      <c r="Z131" s="26">
        <f t="shared" si="42"/>
        <v>0</v>
      </c>
      <c r="AA131" s="26">
        <f t="shared" si="43"/>
        <v>0</v>
      </c>
      <c r="AB131" s="16">
        <f t="shared" si="44"/>
        <v>0</v>
      </c>
    </row>
    <row r="132" spans="7:28" x14ac:dyDescent="0.25">
      <c r="G132">
        <v>123</v>
      </c>
      <c r="H132" s="21">
        <v>47574</v>
      </c>
      <c r="I132" s="16">
        <f t="shared" si="45"/>
        <v>0</v>
      </c>
      <c r="J132" s="16">
        <f t="shared" si="46"/>
        <v>0</v>
      </c>
      <c r="K132" s="16">
        <f t="shared" si="47"/>
        <v>0</v>
      </c>
      <c r="L132" s="26">
        <f t="shared" si="48"/>
        <v>0</v>
      </c>
      <c r="M132" s="26">
        <f t="shared" si="31"/>
        <v>0</v>
      </c>
      <c r="N132" s="16">
        <f t="shared" si="49"/>
        <v>0</v>
      </c>
      <c r="O132" s="16"/>
      <c r="P132" s="16">
        <f t="shared" si="32"/>
        <v>0</v>
      </c>
      <c r="Q132" s="16">
        <f t="shared" si="33"/>
        <v>0</v>
      </c>
      <c r="R132" s="16">
        <f t="shared" si="34"/>
        <v>0</v>
      </c>
      <c r="S132" s="26">
        <f t="shared" si="35"/>
        <v>0</v>
      </c>
      <c r="T132" s="16">
        <f t="shared" si="50"/>
        <v>0</v>
      </c>
      <c r="U132" s="26">
        <f t="shared" si="37"/>
        <v>0</v>
      </c>
      <c r="V132" s="26">
        <f t="shared" si="38"/>
        <v>0</v>
      </c>
      <c r="W132" s="3">
        <f t="shared" si="39"/>
        <v>0</v>
      </c>
      <c r="X132" s="16">
        <f t="shared" si="40"/>
        <v>0</v>
      </c>
      <c r="Y132" s="16">
        <f t="shared" si="41"/>
        <v>0</v>
      </c>
      <c r="Z132" s="26">
        <f t="shared" si="42"/>
        <v>0</v>
      </c>
      <c r="AA132" s="26">
        <f t="shared" si="43"/>
        <v>0</v>
      </c>
      <c r="AB132" s="16">
        <f t="shared" si="44"/>
        <v>0</v>
      </c>
    </row>
    <row r="133" spans="7:28" x14ac:dyDescent="0.25">
      <c r="G133">
        <v>124</v>
      </c>
      <c r="H133" s="21">
        <v>47604</v>
      </c>
      <c r="I133" s="16">
        <f t="shared" si="45"/>
        <v>0</v>
      </c>
      <c r="J133" s="16">
        <f t="shared" si="46"/>
        <v>0</v>
      </c>
      <c r="K133" s="16">
        <f t="shared" si="47"/>
        <v>0</v>
      </c>
      <c r="L133" s="26">
        <f t="shared" si="48"/>
        <v>0</v>
      </c>
      <c r="M133" s="26">
        <f t="shared" si="31"/>
        <v>0</v>
      </c>
      <c r="N133" s="16">
        <f t="shared" si="49"/>
        <v>0</v>
      </c>
      <c r="O133" s="16"/>
      <c r="P133" s="16">
        <f t="shared" si="32"/>
        <v>0</v>
      </c>
      <c r="Q133" s="16">
        <f t="shared" si="33"/>
        <v>0</v>
      </c>
      <c r="R133" s="16">
        <f t="shared" si="34"/>
        <v>0</v>
      </c>
      <c r="S133" s="26">
        <f t="shared" si="35"/>
        <v>0</v>
      </c>
      <c r="T133" s="16">
        <f t="shared" si="50"/>
        <v>0</v>
      </c>
      <c r="U133" s="26">
        <f t="shared" si="37"/>
        <v>0</v>
      </c>
      <c r="V133" s="26">
        <f t="shared" si="38"/>
        <v>0</v>
      </c>
      <c r="W133" s="3">
        <f t="shared" si="39"/>
        <v>0</v>
      </c>
      <c r="X133" s="16">
        <f t="shared" si="40"/>
        <v>0</v>
      </c>
      <c r="Y133" s="16">
        <f t="shared" si="41"/>
        <v>0</v>
      </c>
      <c r="Z133" s="26">
        <f t="shared" si="42"/>
        <v>0</v>
      </c>
      <c r="AA133" s="26">
        <f t="shared" si="43"/>
        <v>0</v>
      </c>
      <c r="AB133" s="16">
        <f t="shared" si="44"/>
        <v>0</v>
      </c>
    </row>
    <row r="134" spans="7:28" x14ac:dyDescent="0.25">
      <c r="G134">
        <v>125</v>
      </c>
      <c r="H134" s="21">
        <v>47635</v>
      </c>
      <c r="I134" s="16">
        <f t="shared" si="45"/>
        <v>0</v>
      </c>
      <c r="J134" s="16">
        <f t="shared" si="46"/>
        <v>0</v>
      </c>
      <c r="K134" s="16">
        <f t="shared" si="47"/>
        <v>0</v>
      </c>
      <c r="L134" s="26">
        <f t="shared" si="48"/>
        <v>0</v>
      </c>
      <c r="M134" s="26">
        <f t="shared" si="31"/>
        <v>0</v>
      </c>
      <c r="N134" s="16">
        <f t="shared" si="49"/>
        <v>0</v>
      </c>
      <c r="O134" s="16"/>
      <c r="P134" s="16">
        <f t="shared" si="32"/>
        <v>0</v>
      </c>
      <c r="Q134" s="16">
        <f t="shared" si="33"/>
        <v>0</v>
      </c>
      <c r="R134" s="16">
        <f t="shared" si="34"/>
        <v>0</v>
      </c>
      <c r="S134" s="26">
        <f t="shared" si="35"/>
        <v>0</v>
      </c>
      <c r="T134" s="16">
        <f t="shared" si="50"/>
        <v>0</v>
      </c>
      <c r="U134" s="26">
        <f t="shared" si="37"/>
        <v>0</v>
      </c>
      <c r="V134" s="26">
        <f t="shared" si="38"/>
        <v>0</v>
      </c>
      <c r="W134" s="3">
        <f t="shared" si="39"/>
        <v>0</v>
      </c>
      <c r="X134" s="16">
        <f t="shared" si="40"/>
        <v>0</v>
      </c>
      <c r="Y134" s="16">
        <f t="shared" si="41"/>
        <v>0</v>
      </c>
      <c r="Z134" s="26">
        <f t="shared" si="42"/>
        <v>0</v>
      </c>
      <c r="AA134" s="26">
        <f t="shared" si="43"/>
        <v>0</v>
      </c>
      <c r="AB134" s="16">
        <f t="shared" si="44"/>
        <v>0</v>
      </c>
    </row>
    <row r="135" spans="7:28" x14ac:dyDescent="0.25">
      <c r="G135">
        <v>126</v>
      </c>
      <c r="H135" s="21">
        <v>47665</v>
      </c>
      <c r="I135" s="16">
        <f t="shared" si="45"/>
        <v>0</v>
      </c>
      <c r="J135" s="16">
        <f t="shared" si="46"/>
        <v>0</v>
      </c>
      <c r="K135" s="16">
        <f t="shared" si="47"/>
        <v>0</v>
      </c>
      <c r="L135" s="26">
        <f t="shared" si="48"/>
        <v>0</v>
      </c>
      <c r="M135" s="26">
        <f t="shared" si="31"/>
        <v>0</v>
      </c>
      <c r="N135" s="16">
        <f t="shared" si="49"/>
        <v>0</v>
      </c>
      <c r="O135" s="16"/>
      <c r="P135" s="16">
        <f t="shared" si="32"/>
        <v>0</v>
      </c>
      <c r="Q135" s="16">
        <f t="shared" si="33"/>
        <v>0</v>
      </c>
      <c r="R135" s="16">
        <f t="shared" si="34"/>
        <v>0</v>
      </c>
      <c r="S135" s="26">
        <f t="shared" si="35"/>
        <v>0</v>
      </c>
      <c r="T135" s="16">
        <f t="shared" si="50"/>
        <v>0</v>
      </c>
      <c r="U135" s="26">
        <f t="shared" si="37"/>
        <v>0</v>
      </c>
      <c r="V135" s="26">
        <f t="shared" si="38"/>
        <v>0</v>
      </c>
      <c r="W135" s="3">
        <f t="shared" si="39"/>
        <v>0</v>
      </c>
      <c r="X135" s="16">
        <f t="shared" si="40"/>
        <v>0</v>
      </c>
      <c r="Y135" s="16">
        <f t="shared" si="41"/>
        <v>0</v>
      </c>
      <c r="Z135" s="26">
        <f t="shared" si="42"/>
        <v>0</v>
      </c>
      <c r="AA135" s="26">
        <f t="shared" si="43"/>
        <v>0</v>
      </c>
      <c r="AB135" s="16">
        <f t="shared" si="44"/>
        <v>0</v>
      </c>
    </row>
    <row r="136" spans="7:28" x14ac:dyDescent="0.25">
      <c r="G136">
        <v>127</v>
      </c>
      <c r="H136" s="21">
        <v>47696</v>
      </c>
      <c r="I136" s="16">
        <f t="shared" si="45"/>
        <v>0</v>
      </c>
      <c r="J136" s="16">
        <f t="shared" si="46"/>
        <v>0</v>
      </c>
      <c r="K136" s="16">
        <f t="shared" si="47"/>
        <v>0</v>
      </c>
      <c r="L136" s="26">
        <f t="shared" si="48"/>
        <v>0</v>
      </c>
      <c r="M136" s="26">
        <f t="shared" si="31"/>
        <v>0</v>
      </c>
      <c r="N136" s="16">
        <f t="shared" si="49"/>
        <v>0</v>
      </c>
      <c r="O136" s="16"/>
      <c r="P136" s="16">
        <f t="shared" si="32"/>
        <v>0</v>
      </c>
      <c r="Q136" s="16">
        <f t="shared" si="33"/>
        <v>0</v>
      </c>
      <c r="R136" s="16">
        <f t="shared" si="34"/>
        <v>0</v>
      </c>
      <c r="S136" s="26">
        <f t="shared" si="35"/>
        <v>0</v>
      </c>
      <c r="T136" s="16">
        <f t="shared" si="50"/>
        <v>0</v>
      </c>
      <c r="U136" s="26">
        <f t="shared" si="37"/>
        <v>0</v>
      </c>
      <c r="V136" s="26">
        <f t="shared" si="38"/>
        <v>0</v>
      </c>
      <c r="W136" s="3">
        <f t="shared" si="39"/>
        <v>0</v>
      </c>
      <c r="X136" s="16">
        <f t="shared" si="40"/>
        <v>0</v>
      </c>
      <c r="Y136" s="16">
        <f t="shared" si="41"/>
        <v>0</v>
      </c>
      <c r="Z136" s="26">
        <f t="shared" si="42"/>
        <v>0</v>
      </c>
      <c r="AA136" s="26">
        <f t="shared" si="43"/>
        <v>0</v>
      </c>
      <c r="AB136" s="16">
        <f t="shared" si="44"/>
        <v>0</v>
      </c>
    </row>
    <row r="137" spans="7:28" x14ac:dyDescent="0.25">
      <c r="G137">
        <v>128</v>
      </c>
      <c r="H137" s="21">
        <v>47727</v>
      </c>
      <c r="I137" s="16">
        <f t="shared" si="45"/>
        <v>0</v>
      </c>
      <c r="J137" s="16">
        <f t="shared" si="46"/>
        <v>0</v>
      </c>
      <c r="K137" s="16">
        <f t="shared" si="47"/>
        <v>0</v>
      </c>
      <c r="L137" s="26">
        <f t="shared" si="48"/>
        <v>0</v>
      </c>
      <c r="M137" s="26">
        <f t="shared" si="31"/>
        <v>0</v>
      </c>
      <c r="N137" s="16">
        <f t="shared" si="49"/>
        <v>0</v>
      </c>
      <c r="O137" s="16"/>
      <c r="P137" s="16">
        <f t="shared" si="32"/>
        <v>0</v>
      </c>
      <c r="Q137" s="16">
        <f t="shared" si="33"/>
        <v>0</v>
      </c>
      <c r="R137" s="16">
        <f t="shared" si="34"/>
        <v>0</v>
      </c>
      <c r="S137" s="26">
        <f t="shared" si="35"/>
        <v>0</v>
      </c>
      <c r="T137" s="16">
        <f t="shared" si="50"/>
        <v>0</v>
      </c>
      <c r="U137" s="26">
        <f t="shared" si="37"/>
        <v>0</v>
      </c>
      <c r="V137" s="26">
        <f t="shared" si="38"/>
        <v>0</v>
      </c>
      <c r="W137" s="3">
        <f t="shared" si="39"/>
        <v>0</v>
      </c>
      <c r="X137" s="16">
        <f t="shared" si="40"/>
        <v>0</v>
      </c>
      <c r="Y137" s="16">
        <f t="shared" si="41"/>
        <v>0</v>
      </c>
      <c r="Z137" s="26">
        <f t="shared" si="42"/>
        <v>0</v>
      </c>
      <c r="AA137" s="26">
        <f t="shared" si="43"/>
        <v>0</v>
      </c>
      <c r="AB137" s="16">
        <f t="shared" si="44"/>
        <v>0</v>
      </c>
    </row>
    <row r="138" spans="7:28" x14ac:dyDescent="0.25">
      <c r="G138">
        <v>129</v>
      </c>
      <c r="H138" s="21">
        <v>47757</v>
      </c>
      <c r="I138" s="16">
        <f t="shared" ref="I138:I169" si="51">IF(G138&lt;=$D$14,(L138-K138)*1/(1+$D$20),0)</f>
        <v>0</v>
      </c>
      <c r="J138" s="16">
        <f t="shared" ref="J138:J169" si="52">IF(G138&lt;=$D$14,I138*$D$20,0)</f>
        <v>0</v>
      </c>
      <c r="K138" s="16">
        <f t="shared" ref="K138:K169" si="53">IF(G138&lt;=$D$14,N137*$D$17,0)</f>
        <v>0</v>
      </c>
      <c r="L138" s="26">
        <f t="shared" ref="L138:L169" si="54">IF(G138&lt;=$D$14,-$D$29,0)</f>
        <v>0</v>
      </c>
      <c r="M138" s="26">
        <f t="shared" si="31"/>
        <v>0</v>
      </c>
      <c r="N138" s="16">
        <f t="shared" ref="N138:N169" si="55">IF(G138&lt;=$D$14,N137-I138-J138,0)</f>
        <v>0</v>
      </c>
      <c r="O138" s="16"/>
      <c r="P138" s="16">
        <f t="shared" si="32"/>
        <v>0</v>
      </c>
      <c r="Q138" s="16">
        <f t="shared" si="33"/>
        <v>0</v>
      </c>
      <c r="R138" s="16">
        <f t="shared" si="34"/>
        <v>0</v>
      </c>
      <c r="S138" s="26">
        <f t="shared" si="35"/>
        <v>0</v>
      </c>
      <c r="T138" s="16">
        <f t="shared" si="50"/>
        <v>0</v>
      </c>
      <c r="U138" s="26">
        <f t="shared" si="37"/>
        <v>0</v>
      </c>
      <c r="V138" s="26">
        <f t="shared" si="38"/>
        <v>0</v>
      </c>
      <c r="W138" s="3">
        <f t="shared" si="39"/>
        <v>0</v>
      </c>
      <c r="X138" s="16">
        <f t="shared" si="40"/>
        <v>0</v>
      </c>
      <c r="Y138" s="16">
        <f t="shared" si="41"/>
        <v>0</v>
      </c>
      <c r="Z138" s="26">
        <f t="shared" si="42"/>
        <v>0</v>
      </c>
      <c r="AA138" s="26">
        <f t="shared" si="43"/>
        <v>0</v>
      </c>
      <c r="AB138" s="16">
        <f t="shared" si="44"/>
        <v>0</v>
      </c>
    </row>
    <row r="139" spans="7:28" x14ac:dyDescent="0.25">
      <c r="G139">
        <v>130</v>
      </c>
      <c r="H139" s="21">
        <v>47788</v>
      </c>
      <c r="I139" s="16">
        <f t="shared" si="51"/>
        <v>0</v>
      </c>
      <c r="J139" s="16">
        <f t="shared" si="52"/>
        <v>0</v>
      </c>
      <c r="K139" s="16">
        <f t="shared" si="53"/>
        <v>0</v>
      </c>
      <c r="L139" s="26">
        <f t="shared" si="54"/>
        <v>0</v>
      </c>
      <c r="M139" s="26">
        <f t="shared" ref="M139:M189" si="56">L139+AB139</f>
        <v>0</v>
      </c>
      <c r="N139" s="16">
        <f t="shared" si="55"/>
        <v>0</v>
      </c>
      <c r="O139" s="16"/>
      <c r="P139" s="16">
        <f t="shared" ref="P139:P189" si="57">IF(G139&lt;=$D$14,-$E$29-Q139,0)</f>
        <v>0</v>
      </c>
      <c r="Q139" s="16">
        <f t="shared" ref="Q139:Q189" si="58">IF(G139&lt;=$D$14,R138*$D$17,0)</f>
        <v>0</v>
      </c>
      <c r="R139" s="16">
        <f t="shared" ref="R139:R189" si="59">IF(G139&lt;=$D$14,R138-P139,0)</f>
        <v>0</v>
      </c>
      <c r="S139" s="26">
        <f t="shared" ref="S139:S189" si="60">IF(G139&lt;=$D$14,P139+Q139,0)</f>
        <v>0</v>
      </c>
      <c r="T139" s="16">
        <f t="shared" ref="T139:T170" si="61">IF(G139&lt;=$D$14,IF($D$37="льготное",K139,N138*($D$24+3%)/12),0)</f>
        <v>0</v>
      </c>
      <c r="U139" s="26">
        <f t="shared" ref="U139:U189" si="62">L139</f>
        <v>0</v>
      </c>
      <c r="V139" s="26">
        <f t="shared" ref="V139:V189" si="63">M139</f>
        <v>0</v>
      </c>
      <c r="W139" s="3">
        <f t="shared" ref="W139:W189" si="64">IF($D$38="да",K139*$D$23,0)</f>
        <v>0</v>
      </c>
      <c r="X139" s="16">
        <f t="shared" ref="X139:X189" si="65">IF(G139&lt;=$D$21,IF($D$38="да",($D$13)/$D$21*$D$23,0),0)</f>
        <v>0</v>
      </c>
      <c r="Y139" s="16">
        <f t="shared" ref="Y139:Y189" si="66">IF(G139&lt;=$D$21,IF($D$38="да",AB139*$D$23,0),0)</f>
        <v>0</v>
      </c>
      <c r="Z139" s="26">
        <f t="shared" ref="Z139:Z189" si="67">U139-W139-X139</f>
        <v>0</v>
      </c>
      <c r="AA139" s="26">
        <f t="shared" ref="AA139:AA189" si="68">V139-X139-Y139-W139</f>
        <v>0</v>
      </c>
      <c r="AB139" s="16">
        <f t="shared" si="44"/>
        <v>0</v>
      </c>
    </row>
    <row r="140" spans="7:28" x14ac:dyDescent="0.25">
      <c r="G140">
        <v>131</v>
      </c>
      <c r="H140" s="21">
        <v>47818</v>
      </c>
      <c r="I140" s="16">
        <f t="shared" si="51"/>
        <v>0</v>
      </c>
      <c r="J140" s="16">
        <f t="shared" si="52"/>
        <v>0</v>
      </c>
      <c r="K140" s="16">
        <f t="shared" si="53"/>
        <v>0</v>
      </c>
      <c r="L140" s="26">
        <f t="shared" si="54"/>
        <v>0</v>
      </c>
      <c r="M140" s="26">
        <f t="shared" si="56"/>
        <v>0</v>
      </c>
      <c r="N140" s="16">
        <f t="shared" si="55"/>
        <v>0</v>
      </c>
      <c r="O140" s="16"/>
      <c r="P140" s="16">
        <f t="shared" si="57"/>
        <v>0</v>
      </c>
      <c r="Q140" s="16">
        <f t="shared" si="58"/>
        <v>0</v>
      </c>
      <c r="R140" s="16">
        <f t="shared" si="59"/>
        <v>0</v>
      </c>
      <c r="S140" s="26">
        <f t="shared" si="60"/>
        <v>0</v>
      </c>
      <c r="T140" s="16">
        <f t="shared" si="61"/>
        <v>0</v>
      </c>
      <c r="U140" s="26">
        <f t="shared" si="62"/>
        <v>0</v>
      </c>
      <c r="V140" s="26">
        <f t="shared" si="63"/>
        <v>0</v>
      </c>
      <c r="W140" s="3">
        <f t="shared" si="64"/>
        <v>0</v>
      </c>
      <c r="X140" s="16">
        <f t="shared" si="65"/>
        <v>0</v>
      </c>
      <c r="Y140" s="16">
        <f t="shared" si="66"/>
        <v>0</v>
      </c>
      <c r="Z140" s="26">
        <f t="shared" si="67"/>
        <v>0</v>
      </c>
      <c r="AA140" s="26">
        <f t="shared" si="68"/>
        <v>0</v>
      </c>
      <c r="AB140" s="16">
        <f t="shared" ref="AB140:AB189" si="69">IF(G140&lt;=$D$14,N139*$D$24,0)</f>
        <v>0</v>
      </c>
    </row>
    <row r="141" spans="7:28" x14ac:dyDescent="0.25">
      <c r="G141">
        <v>132</v>
      </c>
      <c r="H141" s="21">
        <v>47849</v>
      </c>
      <c r="I141" s="16">
        <f t="shared" si="51"/>
        <v>0</v>
      </c>
      <c r="J141" s="16">
        <f t="shared" si="52"/>
        <v>0</v>
      </c>
      <c r="K141" s="16">
        <f t="shared" si="53"/>
        <v>0</v>
      </c>
      <c r="L141" s="26">
        <f t="shared" si="54"/>
        <v>0</v>
      </c>
      <c r="M141" s="26">
        <f t="shared" si="56"/>
        <v>0</v>
      </c>
      <c r="N141" s="16">
        <f t="shared" si="55"/>
        <v>0</v>
      </c>
      <c r="O141" s="16"/>
      <c r="P141" s="16">
        <f t="shared" si="57"/>
        <v>0</v>
      </c>
      <c r="Q141" s="16">
        <f t="shared" si="58"/>
        <v>0</v>
      </c>
      <c r="R141" s="16">
        <f t="shared" si="59"/>
        <v>0</v>
      </c>
      <c r="S141" s="26">
        <f t="shared" si="60"/>
        <v>0</v>
      </c>
      <c r="T141" s="16">
        <f t="shared" si="61"/>
        <v>0</v>
      </c>
      <c r="U141" s="26">
        <f t="shared" si="62"/>
        <v>0</v>
      </c>
      <c r="V141" s="26">
        <f t="shared" si="63"/>
        <v>0</v>
      </c>
      <c r="W141" s="3">
        <f t="shared" si="64"/>
        <v>0</v>
      </c>
      <c r="X141" s="16">
        <f t="shared" si="65"/>
        <v>0</v>
      </c>
      <c r="Y141" s="16">
        <f t="shared" si="66"/>
        <v>0</v>
      </c>
      <c r="Z141" s="26">
        <f t="shared" si="67"/>
        <v>0</v>
      </c>
      <c r="AA141" s="26">
        <f t="shared" si="68"/>
        <v>0</v>
      </c>
      <c r="AB141" s="16">
        <f t="shared" si="69"/>
        <v>0</v>
      </c>
    </row>
    <row r="142" spans="7:28" x14ac:dyDescent="0.25">
      <c r="G142">
        <v>133</v>
      </c>
      <c r="H142" s="21">
        <v>47880</v>
      </c>
      <c r="I142" s="16">
        <f t="shared" si="51"/>
        <v>0</v>
      </c>
      <c r="J142" s="16">
        <f t="shared" si="52"/>
        <v>0</v>
      </c>
      <c r="K142" s="16">
        <f t="shared" si="53"/>
        <v>0</v>
      </c>
      <c r="L142" s="26">
        <f t="shared" si="54"/>
        <v>0</v>
      </c>
      <c r="M142" s="26">
        <f t="shared" si="56"/>
        <v>0</v>
      </c>
      <c r="N142" s="16">
        <f t="shared" si="55"/>
        <v>0</v>
      </c>
      <c r="O142" s="16"/>
      <c r="P142" s="16">
        <f t="shared" si="57"/>
        <v>0</v>
      </c>
      <c r="Q142" s="16">
        <f t="shared" si="58"/>
        <v>0</v>
      </c>
      <c r="R142" s="16">
        <f t="shared" si="59"/>
        <v>0</v>
      </c>
      <c r="S142" s="26">
        <f t="shared" si="60"/>
        <v>0</v>
      </c>
      <c r="T142" s="16">
        <f t="shared" si="61"/>
        <v>0</v>
      </c>
      <c r="U142" s="26">
        <f t="shared" si="62"/>
        <v>0</v>
      </c>
      <c r="V142" s="26">
        <f t="shared" si="63"/>
        <v>0</v>
      </c>
      <c r="W142" s="3">
        <f t="shared" si="64"/>
        <v>0</v>
      </c>
      <c r="X142" s="16">
        <f t="shared" si="65"/>
        <v>0</v>
      </c>
      <c r="Y142" s="16">
        <f t="shared" si="66"/>
        <v>0</v>
      </c>
      <c r="Z142" s="26">
        <f t="shared" si="67"/>
        <v>0</v>
      </c>
      <c r="AA142" s="26">
        <f t="shared" si="68"/>
        <v>0</v>
      </c>
      <c r="AB142" s="16">
        <f t="shared" si="69"/>
        <v>0</v>
      </c>
    </row>
    <row r="143" spans="7:28" x14ac:dyDescent="0.25">
      <c r="G143">
        <v>134</v>
      </c>
      <c r="H143" s="21">
        <v>47908</v>
      </c>
      <c r="I143" s="16">
        <f t="shared" si="51"/>
        <v>0</v>
      </c>
      <c r="J143" s="16">
        <f t="shared" si="52"/>
        <v>0</v>
      </c>
      <c r="K143" s="16">
        <f t="shared" si="53"/>
        <v>0</v>
      </c>
      <c r="L143" s="26">
        <f t="shared" si="54"/>
        <v>0</v>
      </c>
      <c r="M143" s="26">
        <f t="shared" si="56"/>
        <v>0</v>
      </c>
      <c r="N143" s="16">
        <f t="shared" si="55"/>
        <v>0</v>
      </c>
      <c r="O143" s="16"/>
      <c r="P143" s="16">
        <f t="shared" si="57"/>
        <v>0</v>
      </c>
      <c r="Q143" s="16">
        <f t="shared" si="58"/>
        <v>0</v>
      </c>
      <c r="R143" s="16">
        <f t="shared" si="59"/>
        <v>0</v>
      </c>
      <c r="S143" s="26">
        <f t="shared" si="60"/>
        <v>0</v>
      </c>
      <c r="T143" s="16">
        <f t="shared" si="61"/>
        <v>0</v>
      </c>
      <c r="U143" s="26">
        <f t="shared" si="62"/>
        <v>0</v>
      </c>
      <c r="V143" s="26">
        <f t="shared" si="63"/>
        <v>0</v>
      </c>
      <c r="W143" s="3">
        <f t="shared" si="64"/>
        <v>0</v>
      </c>
      <c r="X143" s="16">
        <f t="shared" si="65"/>
        <v>0</v>
      </c>
      <c r="Y143" s="16">
        <f t="shared" si="66"/>
        <v>0</v>
      </c>
      <c r="Z143" s="26">
        <f t="shared" si="67"/>
        <v>0</v>
      </c>
      <c r="AA143" s="26">
        <f t="shared" si="68"/>
        <v>0</v>
      </c>
      <c r="AB143" s="16">
        <f t="shared" si="69"/>
        <v>0</v>
      </c>
    </row>
    <row r="144" spans="7:28" x14ac:dyDescent="0.25">
      <c r="G144">
        <v>135</v>
      </c>
      <c r="H144" s="21">
        <v>47939</v>
      </c>
      <c r="I144" s="16">
        <f t="shared" si="51"/>
        <v>0</v>
      </c>
      <c r="J144" s="16">
        <f t="shared" si="52"/>
        <v>0</v>
      </c>
      <c r="K144" s="16">
        <f t="shared" si="53"/>
        <v>0</v>
      </c>
      <c r="L144" s="26">
        <f t="shared" si="54"/>
        <v>0</v>
      </c>
      <c r="M144" s="26">
        <f t="shared" si="56"/>
        <v>0</v>
      </c>
      <c r="N144" s="16">
        <f t="shared" si="55"/>
        <v>0</v>
      </c>
      <c r="O144" s="16"/>
      <c r="P144" s="16">
        <f t="shared" si="57"/>
        <v>0</v>
      </c>
      <c r="Q144" s="16">
        <f t="shared" si="58"/>
        <v>0</v>
      </c>
      <c r="R144" s="16">
        <f t="shared" si="59"/>
        <v>0</v>
      </c>
      <c r="S144" s="26">
        <f t="shared" si="60"/>
        <v>0</v>
      </c>
      <c r="T144" s="16">
        <f t="shared" si="61"/>
        <v>0</v>
      </c>
      <c r="U144" s="26">
        <f t="shared" si="62"/>
        <v>0</v>
      </c>
      <c r="V144" s="26">
        <f t="shared" si="63"/>
        <v>0</v>
      </c>
      <c r="W144" s="3">
        <f t="shared" si="64"/>
        <v>0</v>
      </c>
      <c r="X144" s="16">
        <f t="shared" si="65"/>
        <v>0</v>
      </c>
      <c r="Y144" s="16">
        <f t="shared" si="66"/>
        <v>0</v>
      </c>
      <c r="Z144" s="26">
        <f t="shared" si="67"/>
        <v>0</v>
      </c>
      <c r="AA144" s="26">
        <f t="shared" si="68"/>
        <v>0</v>
      </c>
      <c r="AB144" s="16">
        <f t="shared" si="69"/>
        <v>0</v>
      </c>
    </row>
    <row r="145" spans="7:28" x14ac:dyDescent="0.25">
      <c r="G145">
        <v>136</v>
      </c>
      <c r="H145" s="21">
        <v>47969</v>
      </c>
      <c r="I145" s="16">
        <f t="shared" si="51"/>
        <v>0</v>
      </c>
      <c r="J145" s="16">
        <f t="shared" si="52"/>
        <v>0</v>
      </c>
      <c r="K145" s="16">
        <f t="shared" si="53"/>
        <v>0</v>
      </c>
      <c r="L145" s="26">
        <f t="shared" si="54"/>
        <v>0</v>
      </c>
      <c r="M145" s="26">
        <f t="shared" si="56"/>
        <v>0</v>
      </c>
      <c r="N145" s="16">
        <f t="shared" si="55"/>
        <v>0</v>
      </c>
      <c r="O145" s="16"/>
      <c r="P145" s="16">
        <f t="shared" si="57"/>
        <v>0</v>
      </c>
      <c r="Q145" s="16">
        <f t="shared" si="58"/>
        <v>0</v>
      </c>
      <c r="R145" s="16">
        <f t="shared" si="59"/>
        <v>0</v>
      </c>
      <c r="S145" s="26">
        <f t="shared" si="60"/>
        <v>0</v>
      </c>
      <c r="T145" s="16">
        <f t="shared" si="61"/>
        <v>0</v>
      </c>
      <c r="U145" s="26">
        <f t="shared" si="62"/>
        <v>0</v>
      </c>
      <c r="V145" s="26">
        <f t="shared" si="63"/>
        <v>0</v>
      </c>
      <c r="W145" s="3">
        <f t="shared" si="64"/>
        <v>0</v>
      </c>
      <c r="X145" s="16">
        <f t="shared" si="65"/>
        <v>0</v>
      </c>
      <c r="Y145" s="16">
        <f t="shared" si="66"/>
        <v>0</v>
      </c>
      <c r="Z145" s="26">
        <f t="shared" si="67"/>
        <v>0</v>
      </c>
      <c r="AA145" s="26">
        <f t="shared" si="68"/>
        <v>0</v>
      </c>
      <c r="AB145" s="16">
        <f t="shared" si="69"/>
        <v>0</v>
      </c>
    </row>
    <row r="146" spans="7:28" x14ac:dyDescent="0.25">
      <c r="G146">
        <v>137</v>
      </c>
      <c r="H146" s="21">
        <v>48000</v>
      </c>
      <c r="I146" s="16">
        <f t="shared" si="51"/>
        <v>0</v>
      </c>
      <c r="J146" s="16">
        <f t="shared" si="52"/>
        <v>0</v>
      </c>
      <c r="K146" s="16">
        <f t="shared" si="53"/>
        <v>0</v>
      </c>
      <c r="L146" s="26">
        <f t="shared" si="54"/>
        <v>0</v>
      </c>
      <c r="M146" s="26">
        <f t="shared" si="56"/>
        <v>0</v>
      </c>
      <c r="N146" s="16">
        <f t="shared" si="55"/>
        <v>0</v>
      </c>
      <c r="O146" s="16"/>
      <c r="P146" s="16">
        <f t="shared" si="57"/>
        <v>0</v>
      </c>
      <c r="Q146" s="16">
        <f t="shared" si="58"/>
        <v>0</v>
      </c>
      <c r="R146" s="16">
        <f t="shared" si="59"/>
        <v>0</v>
      </c>
      <c r="S146" s="26">
        <f t="shared" si="60"/>
        <v>0</v>
      </c>
      <c r="T146" s="16">
        <f t="shared" si="61"/>
        <v>0</v>
      </c>
      <c r="U146" s="26">
        <f t="shared" si="62"/>
        <v>0</v>
      </c>
      <c r="V146" s="26">
        <f t="shared" si="63"/>
        <v>0</v>
      </c>
      <c r="W146" s="3">
        <f t="shared" si="64"/>
        <v>0</v>
      </c>
      <c r="X146" s="16">
        <f t="shared" si="65"/>
        <v>0</v>
      </c>
      <c r="Y146" s="16">
        <f t="shared" si="66"/>
        <v>0</v>
      </c>
      <c r="Z146" s="26">
        <f t="shared" si="67"/>
        <v>0</v>
      </c>
      <c r="AA146" s="26">
        <f t="shared" si="68"/>
        <v>0</v>
      </c>
      <c r="AB146" s="16">
        <f t="shared" si="69"/>
        <v>0</v>
      </c>
    </row>
    <row r="147" spans="7:28" x14ac:dyDescent="0.25">
      <c r="G147">
        <v>138</v>
      </c>
      <c r="H147" s="21">
        <v>48030</v>
      </c>
      <c r="I147" s="16">
        <f t="shared" si="51"/>
        <v>0</v>
      </c>
      <c r="J147" s="16">
        <f t="shared" si="52"/>
        <v>0</v>
      </c>
      <c r="K147" s="16">
        <f t="shared" si="53"/>
        <v>0</v>
      </c>
      <c r="L147" s="26">
        <f t="shared" si="54"/>
        <v>0</v>
      </c>
      <c r="M147" s="26">
        <f t="shared" si="56"/>
        <v>0</v>
      </c>
      <c r="N147" s="16">
        <f t="shared" si="55"/>
        <v>0</v>
      </c>
      <c r="O147" s="16"/>
      <c r="P147" s="16">
        <f t="shared" si="57"/>
        <v>0</v>
      </c>
      <c r="Q147" s="16">
        <f t="shared" si="58"/>
        <v>0</v>
      </c>
      <c r="R147" s="16">
        <f t="shared" si="59"/>
        <v>0</v>
      </c>
      <c r="S147" s="26">
        <f t="shared" si="60"/>
        <v>0</v>
      </c>
      <c r="T147" s="16">
        <f t="shared" si="61"/>
        <v>0</v>
      </c>
      <c r="U147" s="26">
        <f t="shared" si="62"/>
        <v>0</v>
      </c>
      <c r="V147" s="26">
        <f t="shared" si="63"/>
        <v>0</v>
      </c>
      <c r="W147" s="3">
        <f t="shared" si="64"/>
        <v>0</v>
      </c>
      <c r="X147" s="16">
        <f t="shared" si="65"/>
        <v>0</v>
      </c>
      <c r="Y147" s="16">
        <f t="shared" si="66"/>
        <v>0</v>
      </c>
      <c r="Z147" s="26">
        <f t="shared" si="67"/>
        <v>0</v>
      </c>
      <c r="AA147" s="26">
        <f t="shared" si="68"/>
        <v>0</v>
      </c>
      <c r="AB147" s="16">
        <f t="shared" si="69"/>
        <v>0</v>
      </c>
    </row>
    <row r="148" spans="7:28" x14ac:dyDescent="0.25">
      <c r="G148">
        <v>139</v>
      </c>
      <c r="H148" s="21">
        <v>48061</v>
      </c>
      <c r="I148" s="16">
        <f t="shared" si="51"/>
        <v>0</v>
      </c>
      <c r="J148" s="16">
        <f t="shared" si="52"/>
        <v>0</v>
      </c>
      <c r="K148" s="16">
        <f t="shared" si="53"/>
        <v>0</v>
      </c>
      <c r="L148" s="26">
        <f t="shared" si="54"/>
        <v>0</v>
      </c>
      <c r="M148" s="26">
        <f t="shared" si="56"/>
        <v>0</v>
      </c>
      <c r="N148" s="16">
        <f t="shared" si="55"/>
        <v>0</v>
      </c>
      <c r="O148" s="16"/>
      <c r="P148" s="16">
        <f t="shared" si="57"/>
        <v>0</v>
      </c>
      <c r="Q148" s="16">
        <f t="shared" si="58"/>
        <v>0</v>
      </c>
      <c r="R148" s="16">
        <f t="shared" si="59"/>
        <v>0</v>
      </c>
      <c r="S148" s="26">
        <f t="shared" si="60"/>
        <v>0</v>
      </c>
      <c r="T148" s="16">
        <f t="shared" si="61"/>
        <v>0</v>
      </c>
      <c r="U148" s="26">
        <f t="shared" si="62"/>
        <v>0</v>
      </c>
      <c r="V148" s="26">
        <f t="shared" si="63"/>
        <v>0</v>
      </c>
      <c r="W148" s="3">
        <f t="shared" si="64"/>
        <v>0</v>
      </c>
      <c r="X148" s="16">
        <f t="shared" si="65"/>
        <v>0</v>
      </c>
      <c r="Y148" s="16">
        <f t="shared" si="66"/>
        <v>0</v>
      </c>
      <c r="Z148" s="26">
        <f t="shared" si="67"/>
        <v>0</v>
      </c>
      <c r="AA148" s="26">
        <f t="shared" si="68"/>
        <v>0</v>
      </c>
      <c r="AB148" s="16">
        <f t="shared" si="69"/>
        <v>0</v>
      </c>
    </row>
    <row r="149" spans="7:28" x14ac:dyDescent="0.25">
      <c r="G149">
        <v>140</v>
      </c>
      <c r="H149" s="21">
        <v>48092</v>
      </c>
      <c r="I149" s="16">
        <f t="shared" si="51"/>
        <v>0</v>
      </c>
      <c r="J149" s="16">
        <f t="shared" si="52"/>
        <v>0</v>
      </c>
      <c r="K149" s="16">
        <f t="shared" si="53"/>
        <v>0</v>
      </c>
      <c r="L149" s="26">
        <f t="shared" si="54"/>
        <v>0</v>
      </c>
      <c r="M149" s="26">
        <f t="shared" si="56"/>
        <v>0</v>
      </c>
      <c r="N149" s="16">
        <f t="shared" si="55"/>
        <v>0</v>
      </c>
      <c r="O149" s="16"/>
      <c r="P149" s="16">
        <f t="shared" si="57"/>
        <v>0</v>
      </c>
      <c r="Q149" s="16">
        <f t="shared" si="58"/>
        <v>0</v>
      </c>
      <c r="R149" s="16">
        <f t="shared" si="59"/>
        <v>0</v>
      </c>
      <c r="S149" s="26">
        <f t="shared" si="60"/>
        <v>0</v>
      </c>
      <c r="T149" s="16">
        <f t="shared" si="61"/>
        <v>0</v>
      </c>
      <c r="U149" s="26">
        <f t="shared" si="62"/>
        <v>0</v>
      </c>
      <c r="V149" s="26">
        <f t="shared" si="63"/>
        <v>0</v>
      </c>
      <c r="W149" s="3">
        <f t="shared" si="64"/>
        <v>0</v>
      </c>
      <c r="X149" s="16">
        <f t="shared" si="65"/>
        <v>0</v>
      </c>
      <c r="Y149" s="16">
        <f t="shared" si="66"/>
        <v>0</v>
      </c>
      <c r="Z149" s="26">
        <f t="shared" si="67"/>
        <v>0</v>
      </c>
      <c r="AA149" s="26">
        <f t="shared" si="68"/>
        <v>0</v>
      </c>
      <c r="AB149" s="16">
        <f t="shared" si="69"/>
        <v>0</v>
      </c>
    </row>
    <row r="150" spans="7:28" x14ac:dyDescent="0.25">
      <c r="G150">
        <v>141</v>
      </c>
      <c r="H150" s="21">
        <v>48122</v>
      </c>
      <c r="I150" s="16">
        <f t="shared" si="51"/>
        <v>0</v>
      </c>
      <c r="J150" s="16">
        <f t="shared" si="52"/>
        <v>0</v>
      </c>
      <c r="K150" s="16">
        <f t="shared" si="53"/>
        <v>0</v>
      </c>
      <c r="L150" s="26">
        <f t="shared" si="54"/>
        <v>0</v>
      </c>
      <c r="M150" s="26">
        <f t="shared" si="56"/>
        <v>0</v>
      </c>
      <c r="N150" s="16">
        <f t="shared" si="55"/>
        <v>0</v>
      </c>
      <c r="O150" s="16"/>
      <c r="P150" s="16">
        <f t="shared" si="57"/>
        <v>0</v>
      </c>
      <c r="Q150" s="16">
        <f t="shared" si="58"/>
        <v>0</v>
      </c>
      <c r="R150" s="16">
        <f t="shared" si="59"/>
        <v>0</v>
      </c>
      <c r="S150" s="26">
        <f t="shared" si="60"/>
        <v>0</v>
      </c>
      <c r="T150" s="16">
        <f t="shared" si="61"/>
        <v>0</v>
      </c>
      <c r="U150" s="26">
        <f t="shared" si="62"/>
        <v>0</v>
      </c>
      <c r="V150" s="26">
        <f t="shared" si="63"/>
        <v>0</v>
      </c>
      <c r="W150" s="3">
        <f t="shared" si="64"/>
        <v>0</v>
      </c>
      <c r="X150" s="16">
        <f t="shared" si="65"/>
        <v>0</v>
      </c>
      <c r="Y150" s="16">
        <f t="shared" si="66"/>
        <v>0</v>
      </c>
      <c r="Z150" s="26">
        <f t="shared" si="67"/>
        <v>0</v>
      </c>
      <c r="AA150" s="26">
        <f t="shared" si="68"/>
        <v>0</v>
      </c>
      <c r="AB150" s="16">
        <f t="shared" si="69"/>
        <v>0</v>
      </c>
    </row>
    <row r="151" spans="7:28" x14ac:dyDescent="0.25">
      <c r="G151">
        <v>142</v>
      </c>
      <c r="H151" s="21">
        <v>48153</v>
      </c>
      <c r="I151" s="16">
        <f t="shared" si="51"/>
        <v>0</v>
      </c>
      <c r="J151" s="16">
        <f t="shared" si="52"/>
        <v>0</v>
      </c>
      <c r="K151" s="16">
        <f t="shared" si="53"/>
        <v>0</v>
      </c>
      <c r="L151" s="26">
        <f t="shared" si="54"/>
        <v>0</v>
      </c>
      <c r="M151" s="26">
        <f t="shared" si="56"/>
        <v>0</v>
      </c>
      <c r="N151" s="16">
        <f t="shared" si="55"/>
        <v>0</v>
      </c>
      <c r="O151" s="16"/>
      <c r="P151" s="16">
        <f t="shared" si="57"/>
        <v>0</v>
      </c>
      <c r="Q151" s="16">
        <f t="shared" si="58"/>
        <v>0</v>
      </c>
      <c r="R151" s="16">
        <f t="shared" si="59"/>
        <v>0</v>
      </c>
      <c r="S151" s="26">
        <f t="shared" si="60"/>
        <v>0</v>
      </c>
      <c r="T151" s="16">
        <f t="shared" si="61"/>
        <v>0</v>
      </c>
      <c r="U151" s="26">
        <f t="shared" si="62"/>
        <v>0</v>
      </c>
      <c r="V151" s="26">
        <f t="shared" si="63"/>
        <v>0</v>
      </c>
      <c r="W151" s="3">
        <f t="shared" si="64"/>
        <v>0</v>
      </c>
      <c r="X151" s="16">
        <f t="shared" si="65"/>
        <v>0</v>
      </c>
      <c r="Y151" s="16">
        <f t="shared" si="66"/>
        <v>0</v>
      </c>
      <c r="Z151" s="26">
        <f t="shared" si="67"/>
        <v>0</v>
      </c>
      <c r="AA151" s="26">
        <f t="shared" si="68"/>
        <v>0</v>
      </c>
      <c r="AB151" s="16">
        <f t="shared" si="69"/>
        <v>0</v>
      </c>
    </row>
    <row r="152" spans="7:28" x14ac:dyDescent="0.25">
      <c r="G152">
        <v>143</v>
      </c>
      <c r="H152" s="21">
        <v>48183</v>
      </c>
      <c r="I152" s="16">
        <f t="shared" si="51"/>
        <v>0</v>
      </c>
      <c r="J152" s="16">
        <f t="shared" si="52"/>
        <v>0</v>
      </c>
      <c r="K152" s="16">
        <f t="shared" si="53"/>
        <v>0</v>
      </c>
      <c r="L152" s="26">
        <f t="shared" si="54"/>
        <v>0</v>
      </c>
      <c r="M152" s="26">
        <f t="shared" si="56"/>
        <v>0</v>
      </c>
      <c r="N152" s="16">
        <f t="shared" si="55"/>
        <v>0</v>
      </c>
      <c r="O152" s="16"/>
      <c r="P152" s="16">
        <f t="shared" si="57"/>
        <v>0</v>
      </c>
      <c r="Q152" s="16">
        <f t="shared" si="58"/>
        <v>0</v>
      </c>
      <c r="R152" s="16">
        <f t="shared" si="59"/>
        <v>0</v>
      </c>
      <c r="S152" s="26">
        <f t="shared" si="60"/>
        <v>0</v>
      </c>
      <c r="T152" s="16">
        <f t="shared" si="61"/>
        <v>0</v>
      </c>
      <c r="U152" s="26">
        <f t="shared" si="62"/>
        <v>0</v>
      </c>
      <c r="V152" s="26">
        <f t="shared" si="63"/>
        <v>0</v>
      </c>
      <c r="W152" s="3">
        <f t="shared" si="64"/>
        <v>0</v>
      </c>
      <c r="X152" s="16">
        <f t="shared" si="65"/>
        <v>0</v>
      </c>
      <c r="Y152" s="16">
        <f t="shared" si="66"/>
        <v>0</v>
      </c>
      <c r="Z152" s="26">
        <f t="shared" si="67"/>
        <v>0</v>
      </c>
      <c r="AA152" s="26">
        <f t="shared" si="68"/>
        <v>0</v>
      </c>
      <c r="AB152" s="16">
        <f t="shared" si="69"/>
        <v>0</v>
      </c>
    </row>
    <row r="153" spans="7:28" x14ac:dyDescent="0.25">
      <c r="G153">
        <v>144</v>
      </c>
      <c r="H153" s="21">
        <v>48214</v>
      </c>
      <c r="I153" s="16">
        <f t="shared" si="51"/>
        <v>0</v>
      </c>
      <c r="J153" s="16">
        <f t="shared" si="52"/>
        <v>0</v>
      </c>
      <c r="K153" s="16">
        <f t="shared" si="53"/>
        <v>0</v>
      </c>
      <c r="L153" s="26">
        <f t="shared" si="54"/>
        <v>0</v>
      </c>
      <c r="M153" s="26">
        <f t="shared" si="56"/>
        <v>0</v>
      </c>
      <c r="N153" s="16">
        <f t="shared" si="55"/>
        <v>0</v>
      </c>
      <c r="O153" s="16"/>
      <c r="P153" s="16">
        <f t="shared" si="57"/>
        <v>0</v>
      </c>
      <c r="Q153" s="16">
        <f t="shared" si="58"/>
        <v>0</v>
      </c>
      <c r="R153" s="16">
        <f t="shared" si="59"/>
        <v>0</v>
      </c>
      <c r="S153" s="26">
        <f t="shared" si="60"/>
        <v>0</v>
      </c>
      <c r="T153" s="16">
        <f t="shared" si="61"/>
        <v>0</v>
      </c>
      <c r="U153" s="26">
        <f t="shared" si="62"/>
        <v>0</v>
      </c>
      <c r="V153" s="26">
        <f t="shared" si="63"/>
        <v>0</v>
      </c>
      <c r="W153" s="3">
        <f t="shared" si="64"/>
        <v>0</v>
      </c>
      <c r="X153" s="16">
        <f t="shared" si="65"/>
        <v>0</v>
      </c>
      <c r="Y153" s="16">
        <f t="shared" si="66"/>
        <v>0</v>
      </c>
      <c r="Z153" s="26">
        <f t="shared" si="67"/>
        <v>0</v>
      </c>
      <c r="AA153" s="26">
        <f t="shared" si="68"/>
        <v>0</v>
      </c>
      <c r="AB153" s="16">
        <f t="shared" si="69"/>
        <v>0</v>
      </c>
    </row>
    <row r="154" spans="7:28" x14ac:dyDescent="0.25">
      <c r="G154">
        <v>145</v>
      </c>
      <c r="H154" s="21">
        <v>48245</v>
      </c>
      <c r="I154" s="16">
        <f t="shared" si="51"/>
        <v>0</v>
      </c>
      <c r="J154" s="16">
        <f t="shared" si="52"/>
        <v>0</v>
      </c>
      <c r="K154" s="16">
        <f t="shared" si="53"/>
        <v>0</v>
      </c>
      <c r="L154" s="26">
        <f t="shared" si="54"/>
        <v>0</v>
      </c>
      <c r="M154" s="26">
        <f t="shared" si="56"/>
        <v>0</v>
      </c>
      <c r="N154" s="16">
        <f t="shared" si="55"/>
        <v>0</v>
      </c>
      <c r="O154" s="16"/>
      <c r="P154" s="16">
        <f t="shared" si="57"/>
        <v>0</v>
      </c>
      <c r="Q154" s="16">
        <f t="shared" si="58"/>
        <v>0</v>
      </c>
      <c r="R154" s="16">
        <f t="shared" si="59"/>
        <v>0</v>
      </c>
      <c r="S154" s="26">
        <f t="shared" si="60"/>
        <v>0</v>
      </c>
      <c r="T154" s="16">
        <f t="shared" si="61"/>
        <v>0</v>
      </c>
      <c r="U154" s="26">
        <f t="shared" si="62"/>
        <v>0</v>
      </c>
      <c r="V154" s="26">
        <f t="shared" si="63"/>
        <v>0</v>
      </c>
      <c r="W154" s="3">
        <f t="shared" si="64"/>
        <v>0</v>
      </c>
      <c r="X154" s="16">
        <f t="shared" si="65"/>
        <v>0</v>
      </c>
      <c r="Y154" s="16">
        <f t="shared" si="66"/>
        <v>0</v>
      </c>
      <c r="Z154" s="26">
        <f t="shared" si="67"/>
        <v>0</v>
      </c>
      <c r="AA154" s="26">
        <f t="shared" si="68"/>
        <v>0</v>
      </c>
      <c r="AB154" s="16">
        <f t="shared" si="69"/>
        <v>0</v>
      </c>
    </row>
    <row r="155" spans="7:28" x14ac:dyDescent="0.25">
      <c r="G155">
        <v>146</v>
      </c>
      <c r="H155" s="21">
        <v>48274</v>
      </c>
      <c r="I155" s="16">
        <f t="shared" si="51"/>
        <v>0</v>
      </c>
      <c r="J155" s="16">
        <f t="shared" si="52"/>
        <v>0</v>
      </c>
      <c r="K155" s="16">
        <f t="shared" si="53"/>
        <v>0</v>
      </c>
      <c r="L155" s="26">
        <f t="shared" si="54"/>
        <v>0</v>
      </c>
      <c r="M155" s="26">
        <f t="shared" si="56"/>
        <v>0</v>
      </c>
      <c r="N155" s="16">
        <f t="shared" si="55"/>
        <v>0</v>
      </c>
      <c r="O155" s="16"/>
      <c r="P155" s="16">
        <f t="shared" si="57"/>
        <v>0</v>
      </c>
      <c r="Q155" s="16">
        <f t="shared" si="58"/>
        <v>0</v>
      </c>
      <c r="R155" s="16">
        <f t="shared" si="59"/>
        <v>0</v>
      </c>
      <c r="S155" s="26">
        <f t="shared" si="60"/>
        <v>0</v>
      </c>
      <c r="T155" s="16">
        <f t="shared" si="61"/>
        <v>0</v>
      </c>
      <c r="U155" s="26">
        <f t="shared" si="62"/>
        <v>0</v>
      </c>
      <c r="V155" s="26">
        <f t="shared" si="63"/>
        <v>0</v>
      </c>
      <c r="W155" s="3">
        <f t="shared" si="64"/>
        <v>0</v>
      </c>
      <c r="X155" s="16">
        <f t="shared" si="65"/>
        <v>0</v>
      </c>
      <c r="Y155" s="16">
        <f t="shared" si="66"/>
        <v>0</v>
      </c>
      <c r="Z155" s="26">
        <f t="shared" si="67"/>
        <v>0</v>
      </c>
      <c r="AA155" s="26">
        <f t="shared" si="68"/>
        <v>0</v>
      </c>
      <c r="AB155" s="16">
        <f t="shared" si="69"/>
        <v>0</v>
      </c>
    </row>
    <row r="156" spans="7:28" x14ac:dyDescent="0.25">
      <c r="G156">
        <v>147</v>
      </c>
      <c r="H156" s="21">
        <v>48305</v>
      </c>
      <c r="I156" s="16">
        <f t="shared" si="51"/>
        <v>0</v>
      </c>
      <c r="J156" s="16">
        <f t="shared" si="52"/>
        <v>0</v>
      </c>
      <c r="K156" s="16">
        <f t="shared" si="53"/>
        <v>0</v>
      </c>
      <c r="L156" s="26">
        <f t="shared" si="54"/>
        <v>0</v>
      </c>
      <c r="M156" s="26">
        <f t="shared" si="56"/>
        <v>0</v>
      </c>
      <c r="N156" s="16">
        <f t="shared" si="55"/>
        <v>0</v>
      </c>
      <c r="O156" s="16"/>
      <c r="P156" s="16">
        <f t="shared" si="57"/>
        <v>0</v>
      </c>
      <c r="Q156" s="16">
        <f t="shared" si="58"/>
        <v>0</v>
      </c>
      <c r="R156" s="16">
        <f t="shared" si="59"/>
        <v>0</v>
      </c>
      <c r="S156" s="26">
        <f t="shared" si="60"/>
        <v>0</v>
      </c>
      <c r="T156" s="16">
        <f t="shared" si="61"/>
        <v>0</v>
      </c>
      <c r="U156" s="26">
        <f t="shared" si="62"/>
        <v>0</v>
      </c>
      <c r="V156" s="26">
        <f t="shared" si="63"/>
        <v>0</v>
      </c>
      <c r="W156" s="3">
        <f t="shared" si="64"/>
        <v>0</v>
      </c>
      <c r="X156" s="16">
        <f t="shared" si="65"/>
        <v>0</v>
      </c>
      <c r="Y156" s="16">
        <f t="shared" si="66"/>
        <v>0</v>
      </c>
      <c r="Z156" s="26">
        <f t="shared" si="67"/>
        <v>0</v>
      </c>
      <c r="AA156" s="26">
        <f t="shared" si="68"/>
        <v>0</v>
      </c>
      <c r="AB156" s="16">
        <f t="shared" si="69"/>
        <v>0</v>
      </c>
    </row>
    <row r="157" spans="7:28" x14ac:dyDescent="0.25">
      <c r="G157">
        <v>148</v>
      </c>
      <c r="H157" s="21">
        <v>48335</v>
      </c>
      <c r="I157" s="16">
        <f t="shared" si="51"/>
        <v>0</v>
      </c>
      <c r="J157" s="16">
        <f t="shared" si="52"/>
        <v>0</v>
      </c>
      <c r="K157" s="16">
        <f t="shared" si="53"/>
        <v>0</v>
      </c>
      <c r="L157" s="26">
        <f t="shared" si="54"/>
        <v>0</v>
      </c>
      <c r="M157" s="26">
        <f t="shared" si="56"/>
        <v>0</v>
      </c>
      <c r="N157" s="16">
        <f t="shared" si="55"/>
        <v>0</v>
      </c>
      <c r="O157" s="16"/>
      <c r="P157" s="16">
        <f t="shared" si="57"/>
        <v>0</v>
      </c>
      <c r="Q157" s="16">
        <f t="shared" si="58"/>
        <v>0</v>
      </c>
      <c r="R157" s="16">
        <f t="shared" si="59"/>
        <v>0</v>
      </c>
      <c r="S157" s="26">
        <f t="shared" si="60"/>
        <v>0</v>
      </c>
      <c r="T157" s="16">
        <f t="shared" si="61"/>
        <v>0</v>
      </c>
      <c r="U157" s="26">
        <f t="shared" si="62"/>
        <v>0</v>
      </c>
      <c r="V157" s="26">
        <f t="shared" si="63"/>
        <v>0</v>
      </c>
      <c r="W157" s="3">
        <f t="shared" si="64"/>
        <v>0</v>
      </c>
      <c r="X157" s="16">
        <f t="shared" si="65"/>
        <v>0</v>
      </c>
      <c r="Y157" s="16">
        <f t="shared" si="66"/>
        <v>0</v>
      </c>
      <c r="Z157" s="26">
        <f t="shared" si="67"/>
        <v>0</v>
      </c>
      <c r="AA157" s="26">
        <f t="shared" si="68"/>
        <v>0</v>
      </c>
      <c r="AB157" s="16">
        <f t="shared" si="69"/>
        <v>0</v>
      </c>
    </row>
    <row r="158" spans="7:28" x14ac:dyDescent="0.25">
      <c r="G158">
        <v>149</v>
      </c>
      <c r="H158" s="21">
        <v>48366</v>
      </c>
      <c r="I158" s="16">
        <f t="shared" si="51"/>
        <v>0</v>
      </c>
      <c r="J158" s="16">
        <f t="shared" si="52"/>
        <v>0</v>
      </c>
      <c r="K158" s="16">
        <f t="shared" si="53"/>
        <v>0</v>
      </c>
      <c r="L158" s="26">
        <f t="shared" si="54"/>
        <v>0</v>
      </c>
      <c r="M158" s="26">
        <f t="shared" si="56"/>
        <v>0</v>
      </c>
      <c r="N158" s="16">
        <f t="shared" si="55"/>
        <v>0</v>
      </c>
      <c r="O158" s="16"/>
      <c r="P158" s="16">
        <f t="shared" si="57"/>
        <v>0</v>
      </c>
      <c r="Q158" s="16">
        <f t="shared" si="58"/>
        <v>0</v>
      </c>
      <c r="R158" s="16">
        <f t="shared" si="59"/>
        <v>0</v>
      </c>
      <c r="S158" s="26">
        <f t="shared" si="60"/>
        <v>0</v>
      </c>
      <c r="T158" s="16">
        <f t="shared" si="61"/>
        <v>0</v>
      </c>
      <c r="U158" s="26">
        <f t="shared" si="62"/>
        <v>0</v>
      </c>
      <c r="V158" s="26">
        <f t="shared" si="63"/>
        <v>0</v>
      </c>
      <c r="W158" s="3">
        <f t="shared" si="64"/>
        <v>0</v>
      </c>
      <c r="X158" s="16">
        <f t="shared" si="65"/>
        <v>0</v>
      </c>
      <c r="Y158" s="16">
        <f t="shared" si="66"/>
        <v>0</v>
      </c>
      <c r="Z158" s="26">
        <f t="shared" si="67"/>
        <v>0</v>
      </c>
      <c r="AA158" s="26">
        <f t="shared" si="68"/>
        <v>0</v>
      </c>
      <c r="AB158" s="16">
        <f t="shared" si="69"/>
        <v>0</v>
      </c>
    </row>
    <row r="159" spans="7:28" x14ac:dyDescent="0.25">
      <c r="G159">
        <v>150</v>
      </c>
      <c r="H159" s="21">
        <v>48396</v>
      </c>
      <c r="I159" s="16">
        <f t="shared" si="51"/>
        <v>0</v>
      </c>
      <c r="J159" s="16">
        <f t="shared" si="52"/>
        <v>0</v>
      </c>
      <c r="K159" s="16">
        <f t="shared" si="53"/>
        <v>0</v>
      </c>
      <c r="L159" s="26">
        <f t="shared" si="54"/>
        <v>0</v>
      </c>
      <c r="M159" s="26">
        <f t="shared" si="56"/>
        <v>0</v>
      </c>
      <c r="N159" s="16">
        <f t="shared" si="55"/>
        <v>0</v>
      </c>
      <c r="O159" s="16"/>
      <c r="P159" s="16">
        <f t="shared" si="57"/>
        <v>0</v>
      </c>
      <c r="Q159" s="16">
        <f t="shared" si="58"/>
        <v>0</v>
      </c>
      <c r="R159" s="16">
        <f t="shared" si="59"/>
        <v>0</v>
      </c>
      <c r="S159" s="26">
        <f t="shared" si="60"/>
        <v>0</v>
      </c>
      <c r="T159" s="16">
        <f t="shared" si="61"/>
        <v>0</v>
      </c>
      <c r="U159" s="26">
        <f t="shared" si="62"/>
        <v>0</v>
      </c>
      <c r="V159" s="26">
        <f t="shared" si="63"/>
        <v>0</v>
      </c>
      <c r="W159" s="3">
        <f t="shared" si="64"/>
        <v>0</v>
      </c>
      <c r="X159" s="16">
        <f t="shared" si="65"/>
        <v>0</v>
      </c>
      <c r="Y159" s="16">
        <f t="shared" si="66"/>
        <v>0</v>
      </c>
      <c r="Z159" s="26">
        <f t="shared" si="67"/>
        <v>0</v>
      </c>
      <c r="AA159" s="26">
        <f t="shared" si="68"/>
        <v>0</v>
      </c>
      <c r="AB159" s="16">
        <f t="shared" si="69"/>
        <v>0</v>
      </c>
    </row>
    <row r="160" spans="7:28" x14ac:dyDescent="0.25">
      <c r="G160">
        <v>151</v>
      </c>
      <c r="H160" s="21">
        <v>48427</v>
      </c>
      <c r="I160" s="16">
        <f t="shared" si="51"/>
        <v>0</v>
      </c>
      <c r="J160" s="16">
        <f t="shared" si="52"/>
        <v>0</v>
      </c>
      <c r="K160" s="16">
        <f t="shared" si="53"/>
        <v>0</v>
      </c>
      <c r="L160" s="26">
        <f t="shared" si="54"/>
        <v>0</v>
      </c>
      <c r="M160" s="26">
        <f t="shared" si="56"/>
        <v>0</v>
      </c>
      <c r="N160" s="16">
        <f t="shared" si="55"/>
        <v>0</v>
      </c>
      <c r="O160" s="16"/>
      <c r="P160" s="16">
        <f t="shared" si="57"/>
        <v>0</v>
      </c>
      <c r="Q160" s="16">
        <f t="shared" si="58"/>
        <v>0</v>
      </c>
      <c r="R160" s="16">
        <f t="shared" si="59"/>
        <v>0</v>
      </c>
      <c r="S160" s="26">
        <f t="shared" si="60"/>
        <v>0</v>
      </c>
      <c r="T160" s="16">
        <f t="shared" si="61"/>
        <v>0</v>
      </c>
      <c r="U160" s="26">
        <f t="shared" si="62"/>
        <v>0</v>
      </c>
      <c r="V160" s="26">
        <f t="shared" si="63"/>
        <v>0</v>
      </c>
      <c r="W160" s="3">
        <f t="shared" si="64"/>
        <v>0</v>
      </c>
      <c r="X160" s="16">
        <f t="shared" si="65"/>
        <v>0</v>
      </c>
      <c r="Y160" s="16">
        <f t="shared" si="66"/>
        <v>0</v>
      </c>
      <c r="Z160" s="26">
        <f t="shared" si="67"/>
        <v>0</v>
      </c>
      <c r="AA160" s="26">
        <f t="shared" si="68"/>
        <v>0</v>
      </c>
      <c r="AB160" s="16">
        <f t="shared" si="69"/>
        <v>0</v>
      </c>
    </row>
    <row r="161" spans="7:28" x14ac:dyDescent="0.25">
      <c r="G161">
        <v>152</v>
      </c>
      <c r="H161" s="21">
        <v>48458</v>
      </c>
      <c r="I161" s="16">
        <f t="shared" si="51"/>
        <v>0</v>
      </c>
      <c r="J161" s="16">
        <f t="shared" si="52"/>
        <v>0</v>
      </c>
      <c r="K161" s="16">
        <f t="shared" si="53"/>
        <v>0</v>
      </c>
      <c r="L161" s="26">
        <f t="shared" si="54"/>
        <v>0</v>
      </c>
      <c r="M161" s="26">
        <f t="shared" si="56"/>
        <v>0</v>
      </c>
      <c r="N161" s="16">
        <f t="shared" si="55"/>
        <v>0</v>
      </c>
      <c r="O161" s="16"/>
      <c r="P161" s="16">
        <f t="shared" si="57"/>
        <v>0</v>
      </c>
      <c r="Q161" s="16">
        <f t="shared" si="58"/>
        <v>0</v>
      </c>
      <c r="R161" s="16">
        <f t="shared" si="59"/>
        <v>0</v>
      </c>
      <c r="S161" s="26">
        <f t="shared" si="60"/>
        <v>0</v>
      </c>
      <c r="T161" s="16">
        <f t="shared" si="61"/>
        <v>0</v>
      </c>
      <c r="U161" s="26">
        <f t="shared" si="62"/>
        <v>0</v>
      </c>
      <c r="V161" s="26">
        <f t="shared" si="63"/>
        <v>0</v>
      </c>
      <c r="W161" s="3">
        <f t="shared" si="64"/>
        <v>0</v>
      </c>
      <c r="X161" s="16">
        <f t="shared" si="65"/>
        <v>0</v>
      </c>
      <c r="Y161" s="16">
        <f t="shared" si="66"/>
        <v>0</v>
      </c>
      <c r="Z161" s="26">
        <f t="shared" si="67"/>
        <v>0</v>
      </c>
      <c r="AA161" s="26">
        <f t="shared" si="68"/>
        <v>0</v>
      </c>
      <c r="AB161" s="16">
        <f t="shared" si="69"/>
        <v>0</v>
      </c>
    </row>
    <row r="162" spans="7:28" x14ac:dyDescent="0.25">
      <c r="G162">
        <v>153</v>
      </c>
      <c r="H162" s="21">
        <v>48488</v>
      </c>
      <c r="I162" s="16">
        <f t="shared" si="51"/>
        <v>0</v>
      </c>
      <c r="J162" s="16">
        <f t="shared" si="52"/>
        <v>0</v>
      </c>
      <c r="K162" s="16">
        <f t="shared" si="53"/>
        <v>0</v>
      </c>
      <c r="L162" s="26">
        <f t="shared" si="54"/>
        <v>0</v>
      </c>
      <c r="M162" s="26">
        <f t="shared" si="56"/>
        <v>0</v>
      </c>
      <c r="N162" s="16">
        <f t="shared" si="55"/>
        <v>0</v>
      </c>
      <c r="O162" s="16"/>
      <c r="P162" s="16">
        <f t="shared" si="57"/>
        <v>0</v>
      </c>
      <c r="Q162" s="16">
        <f t="shared" si="58"/>
        <v>0</v>
      </c>
      <c r="R162" s="16">
        <f t="shared" si="59"/>
        <v>0</v>
      </c>
      <c r="S162" s="26">
        <f t="shared" si="60"/>
        <v>0</v>
      </c>
      <c r="T162" s="16">
        <f t="shared" si="61"/>
        <v>0</v>
      </c>
      <c r="U162" s="26">
        <f t="shared" si="62"/>
        <v>0</v>
      </c>
      <c r="V162" s="26">
        <f t="shared" si="63"/>
        <v>0</v>
      </c>
      <c r="W162" s="3">
        <f t="shared" si="64"/>
        <v>0</v>
      </c>
      <c r="X162" s="16">
        <f t="shared" si="65"/>
        <v>0</v>
      </c>
      <c r="Y162" s="16">
        <f t="shared" si="66"/>
        <v>0</v>
      </c>
      <c r="Z162" s="26">
        <f t="shared" si="67"/>
        <v>0</v>
      </c>
      <c r="AA162" s="26">
        <f t="shared" si="68"/>
        <v>0</v>
      </c>
      <c r="AB162" s="16">
        <f t="shared" si="69"/>
        <v>0</v>
      </c>
    </row>
    <row r="163" spans="7:28" x14ac:dyDescent="0.25">
      <c r="G163">
        <v>154</v>
      </c>
      <c r="H163" s="21">
        <v>48519</v>
      </c>
      <c r="I163" s="16">
        <f t="shared" si="51"/>
        <v>0</v>
      </c>
      <c r="J163" s="16">
        <f t="shared" si="52"/>
        <v>0</v>
      </c>
      <c r="K163" s="16">
        <f t="shared" si="53"/>
        <v>0</v>
      </c>
      <c r="L163" s="26">
        <f t="shared" si="54"/>
        <v>0</v>
      </c>
      <c r="M163" s="26">
        <f t="shared" si="56"/>
        <v>0</v>
      </c>
      <c r="N163" s="16">
        <f t="shared" si="55"/>
        <v>0</v>
      </c>
      <c r="O163" s="16"/>
      <c r="P163" s="16">
        <f t="shared" si="57"/>
        <v>0</v>
      </c>
      <c r="Q163" s="16">
        <f t="shared" si="58"/>
        <v>0</v>
      </c>
      <c r="R163" s="16">
        <f t="shared" si="59"/>
        <v>0</v>
      </c>
      <c r="S163" s="26">
        <f t="shared" si="60"/>
        <v>0</v>
      </c>
      <c r="T163" s="16">
        <f t="shared" si="61"/>
        <v>0</v>
      </c>
      <c r="U163" s="26">
        <f t="shared" si="62"/>
        <v>0</v>
      </c>
      <c r="V163" s="26">
        <f t="shared" si="63"/>
        <v>0</v>
      </c>
      <c r="W163" s="3">
        <f t="shared" si="64"/>
        <v>0</v>
      </c>
      <c r="X163" s="16">
        <f t="shared" si="65"/>
        <v>0</v>
      </c>
      <c r="Y163" s="16">
        <f t="shared" si="66"/>
        <v>0</v>
      </c>
      <c r="Z163" s="26">
        <f t="shared" si="67"/>
        <v>0</v>
      </c>
      <c r="AA163" s="26">
        <f t="shared" si="68"/>
        <v>0</v>
      </c>
      <c r="AB163" s="16">
        <f t="shared" si="69"/>
        <v>0</v>
      </c>
    </row>
    <row r="164" spans="7:28" x14ac:dyDescent="0.25">
      <c r="G164">
        <v>155</v>
      </c>
      <c r="H164" s="21">
        <v>48549</v>
      </c>
      <c r="I164" s="16">
        <f t="shared" si="51"/>
        <v>0</v>
      </c>
      <c r="J164" s="16">
        <f t="shared" si="52"/>
        <v>0</v>
      </c>
      <c r="K164" s="16">
        <f t="shared" si="53"/>
        <v>0</v>
      </c>
      <c r="L164" s="26">
        <f t="shared" si="54"/>
        <v>0</v>
      </c>
      <c r="M164" s="26">
        <f t="shared" si="56"/>
        <v>0</v>
      </c>
      <c r="N164" s="16">
        <f t="shared" si="55"/>
        <v>0</v>
      </c>
      <c r="O164" s="16"/>
      <c r="P164" s="16">
        <f t="shared" si="57"/>
        <v>0</v>
      </c>
      <c r="Q164" s="16">
        <f t="shared" si="58"/>
        <v>0</v>
      </c>
      <c r="R164" s="16">
        <f t="shared" si="59"/>
        <v>0</v>
      </c>
      <c r="S164" s="26">
        <f t="shared" si="60"/>
        <v>0</v>
      </c>
      <c r="T164" s="16">
        <f t="shared" si="61"/>
        <v>0</v>
      </c>
      <c r="U164" s="26">
        <f t="shared" si="62"/>
        <v>0</v>
      </c>
      <c r="V164" s="26">
        <f t="shared" si="63"/>
        <v>0</v>
      </c>
      <c r="W164" s="3">
        <f t="shared" si="64"/>
        <v>0</v>
      </c>
      <c r="X164" s="16">
        <f t="shared" si="65"/>
        <v>0</v>
      </c>
      <c r="Y164" s="16">
        <f t="shared" si="66"/>
        <v>0</v>
      </c>
      <c r="Z164" s="26">
        <f t="shared" si="67"/>
        <v>0</v>
      </c>
      <c r="AA164" s="26">
        <f t="shared" si="68"/>
        <v>0</v>
      </c>
      <c r="AB164" s="16">
        <f t="shared" si="69"/>
        <v>0</v>
      </c>
    </row>
    <row r="165" spans="7:28" x14ac:dyDescent="0.25">
      <c r="G165">
        <v>156</v>
      </c>
      <c r="H165" s="21">
        <v>48580</v>
      </c>
      <c r="I165" s="16">
        <f t="shared" si="51"/>
        <v>0</v>
      </c>
      <c r="J165" s="16">
        <f t="shared" si="52"/>
        <v>0</v>
      </c>
      <c r="K165" s="16">
        <f t="shared" si="53"/>
        <v>0</v>
      </c>
      <c r="L165" s="26">
        <f t="shared" si="54"/>
        <v>0</v>
      </c>
      <c r="M165" s="26">
        <f t="shared" si="56"/>
        <v>0</v>
      </c>
      <c r="N165" s="16">
        <f t="shared" si="55"/>
        <v>0</v>
      </c>
      <c r="O165" s="16"/>
      <c r="P165" s="16">
        <f t="shared" si="57"/>
        <v>0</v>
      </c>
      <c r="Q165" s="16">
        <f t="shared" si="58"/>
        <v>0</v>
      </c>
      <c r="R165" s="16">
        <f t="shared" si="59"/>
        <v>0</v>
      </c>
      <c r="S165" s="26">
        <f t="shared" si="60"/>
        <v>0</v>
      </c>
      <c r="T165" s="16">
        <f t="shared" si="61"/>
        <v>0</v>
      </c>
      <c r="U165" s="26">
        <f t="shared" si="62"/>
        <v>0</v>
      </c>
      <c r="V165" s="26">
        <f t="shared" si="63"/>
        <v>0</v>
      </c>
      <c r="W165" s="3">
        <f t="shared" si="64"/>
        <v>0</v>
      </c>
      <c r="X165" s="16">
        <f t="shared" si="65"/>
        <v>0</v>
      </c>
      <c r="Y165" s="16">
        <f t="shared" si="66"/>
        <v>0</v>
      </c>
      <c r="Z165" s="26">
        <f t="shared" si="67"/>
        <v>0</v>
      </c>
      <c r="AA165" s="26">
        <f t="shared" si="68"/>
        <v>0</v>
      </c>
      <c r="AB165" s="16">
        <f t="shared" si="69"/>
        <v>0</v>
      </c>
    </row>
    <row r="166" spans="7:28" x14ac:dyDescent="0.25">
      <c r="G166">
        <v>157</v>
      </c>
      <c r="H166" s="21">
        <v>48611</v>
      </c>
      <c r="I166" s="16">
        <f t="shared" si="51"/>
        <v>0</v>
      </c>
      <c r="J166" s="16">
        <f t="shared" si="52"/>
        <v>0</v>
      </c>
      <c r="K166" s="16">
        <f t="shared" si="53"/>
        <v>0</v>
      </c>
      <c r="L166" s="26">
        <f t="shared" si="54"/>
        <v>0</v>
      </c>
      <c r="M166" s="26">
        <f t="shared" si="56"/>
        <v>0</v>
      </c>
      <c r="N166" s="16">
        <f t="shared" si="55"/>
        <v>0</v>
      </c>
      <c r="O166" s="16"/>
      <c r="P166" s="16">
        <f t="shared" si="57"/>
        <v>0</v>
      </c>
      <c r="Q166" s="16">
        <f t="shared" si="58"/>
        <v>0</v>
      </c>
      <c r="R166" s="16">
        <f t="shared" si="59"/>
        <v>0</v>
      </c>
      <c r="S166" s="26">
        <f t="shared" si="60"/>
        <v>0</v>
      </c>
      <c r="T166" s="16">
        <f t="shared" si="61"/>
        <v>0</v>
      </c>
      <c r="U166" s="26">
        <f t="shared" si="62"/>
        <v>0</v>
      </c>
      <c r="V166" s="26">
        <f t="shared" si="63"/>
        <v>0</v>
      </c>
      <c r="W166" s="3">
        <f t="shared" si="64"/>
        <v>0</v>
      </c>
      <c r="X166" s="16">
        <f t="shared" si="65"/>
        <v>0</v>
      </c>
      <c r="Y166" s="16">
        <f t="shared" si="66"/>
        <v>0</v>
      </c>
      <c r="Z166" s="26">
        <f t="shared" si="67"/>
        <v>0</v>
      </c>
      <c r="AA166" s="26">
        <f t="shared" si="68"/>
        <v>0</v>
      </c>
      <c r="AB166" s="16">
        <f t="shared" si="69"/>
        <v>0</v>
      </c>
    </row>
    <row r="167" spans="7:28" x14ac:dyDescent="0.25">
      <c r="G167">
        <v>158</v>
      </c>
      <c r="H167" s="21">
        <v>48639</v>
      </c>
      <c r="I167" s="16">
        <f t="shared" si="51"/>
        <v>0</v>
      </c>
      <c r="J167" s="16">
        <f t="shared" si="52"/>
        <v>0</v>
      </c>
      <c r="K167" s="16">
        <f t="shared" si="53"/>
        <v>0</v>
      </c>
      <c r="L167" s="26">
        <f t="shared" si="54"/>
        <v>0</v>
      </c>
      <c r="M167" s="26">
        <f t="shared" si="56"/>
        <v>0</v>
      </c>
      <c r="N167" s="16">
        <f t="shared" si="55"/>
        <v>0</v>
      </c>
      <c r="O167" s="16"/>
      <c r="P167" s="16">
        <f t="shared" si="57"/>
        <v>0</v>
      </c>
      <c r="Q167" s="16">
        <f t="shared" si="58"/>
        <v>0</v>
      </c>
      <c r="R167" s="16">
        <f t="shared" si="59"/>
        <v>0</v>
      </c>
      <c r="S167" s="26">
        <f t="shared" si="60"/>
        <v>0</v>
      </c>
      <c r="T167" s="16">
        <f t="shared" si="61"/>
        <v>0</v>
      </c>
      <c r="U167" s="26">
        <f t="shared" si="62"/>
        <v>0</v>
      </c>
      <c r="V167" s="26">
        <f t="shared" si="63"/>
        <v>0</v>
      </c>
      <c r="W167" s="3">
        <f t="shared" si="64"/>
        <v>0</v>
      </c>
      <c r="X167" s="16">
        <f t="shared" si="65"/>
        <v>0</v>
      </c>
      <c r="Y167" s="16">
        <f t="shared" si="66"/>
        <v>0</v>
      </c>
      <c r="Z167" s="26">
        <f t="shared" si="67"/>
        <v>0</v>
      </c>
      <c r="AA167" s="26">
        <f t="shared" si="68"/>
        <v>0</v>
      </c>
      <c r="AB167" s="16">
        <f t="shared" si="69"/>
        <v>0</v>
      </c>
    </row>
    <row r="168" spans="7:28" x14ac:dyDescent="0.25">
      <c r="G168">
        <v>159</v>
      </c>
      <c r="H168" s="21">
        <v>48670</v>
      </c>
      <c r="I168" s="16">
        <f t="shared" si="51"/>
        <v>0</v>
      </c>
      <c r="J168" s="16">
        <f t="shared" si="52"/>
        <v>0</v>
      </c>
      <c r="K168" s="16">
        <f t="shared" si="53"/>
        <v>0</v>
      </c>
      <c r="L168" s="26">
        <f t="shared" si="54"/>
        <v>0</v>
      </c>
      <c r="M168" s="26">
        <f t="shared" si="56"/>
        <v>0</v>
      </c>
      <c r="N168" s="16">
        <f t="shared" si="55"/>
        <v>0</v>
      </c>
      <c r="O168" s="16"/>
      <c r="P168" s="16">
        <f t="shared" si="57"/>
        <v>0</v>
      </c>
      <c r="Q168" s="16">
        <f t="shared" si="58"/>
        <v>0</v>
      </c>
      <c r="R168" s="16">
        <f t="shared" si="59"/>
        <v>0</v>
      </c>
      <c r="S168" s="26">
        <f t="shared" si="60"/>
        <v>0</v>
      </c>
      <c r="T168" s="16">
        <f t="shared" si="61"/>
        <v>0</v>
      </c>
      <c r="U168" s="26">
        <f t="shared" si="62"/>
        <v>0</v>
      </c>
      <c r="V168" s="26">
        <f t="shared" si="63"/>
        <v>0</v>
      </c>
      <c r="W168" s="3">
        <f t="shared" si="64"/>
        <v>0</v>
      </c>
      <c r="X168" s="16">
        <f t="shared" si="65"/>
        <v>0</v>
      </c>
      <c r="Y168" s="16">
        <f t="shared" si="66"/>
        <v>0</v>
      </c>
      <c r="Z168" s="26">
        <f t="shared" si="67"/>
        <v>0</v>
      </c>
      <c r="AA168" s="26">
        <f t="shared" si="68"/>
        <v>0</v>
      </c>
      <c r="AB168" s="16">
        <f t="shared" si="69"/>
        <v>0</v>
      </c>
    </row>
    <row r="169" spans="7:28" x14ac:dyDescent="0.25">
      <c r="G169">
        <v>160</v>
      </c>
      <c r="H169" s="21">
        <v>48700</v>
      </c>
      <c r="I169" s="16">
        <f t="shared" si="51"/>
        <v>0</v>
      </c>
      <c r="J169" s="16">
        <f t="shared" si="52"/>
        <v>0</v>
      </c>
      <c r="K169" s="16">
        <f t="shared" si="53"/>
        <v>0</v>
      </c>
      <c r="L169" s="26">
        <f t="shared" si="54"/>
        <v>0</v>
      </c>
      <c r="M169" s="26">
        <f t="shared" si="56"/>
        <v>0</v>
      </c>
      <c r="N169" s="16">
        <f t="shared" si="55"/>
        <v>0</v>
      </c>
      <c r="O169" s="16"/>
      <c r="P169" s="16">
        <f t="shared" si="57"/>
        <v>0</v>
      </c>
      <c r="Q169" s="16">
        <f t="shared" si="58"/>
        <v>0</v>
      </c>
      <c r="R169" s="16">
        <f t="shared" si="59"/>
        <v>0</v>
      </c>
      <c r="S169" s="26">
        <f t="shared" si="60"/>
        <v>0</v>
      </c>
      <c r="T169" s="16">
        <f t="shared" si="61"/>
        <v>0</v>
      </c>
      <c r="U169" s="26">
        <f t="shared" si="62"/>
        <v>0</v>
      </c>
      <c r="V169" s="26">
        <f t="shared" si="63"/>
        <v>0</v>
      </c>
      <c r="W169" s="3">
        <f t="shared" si="64"/>
        <v>0</v>
      </c>
      <c r="X169" s="16">
        <f t="shared" si="65"/>
        <v>0</v>
      </c>
      <c r="Y169" s="16">
        <f t="shared" si="66"/>
        <v>0</v>
      </c>
      <c r="Z169" s="26">
        <f t="shared" si="67"/>
        <v>0</v>
      </c>
      <c r="AA169" s="26">
        <f t="shared" si="68"/>
        <v>0</v>
      </c>
      <c r="AB169" s="16">
        <f t="shared" si="69"/>
        <v>0</v>
      </c>
    </row>
    <row r="170" spans="7:28" x14ac:dyDescent="0.25">
      <c r="G170">
        <v>161</v>
      </c>
      <c r="H170" s="21">
        <v>48731</v>
      </c>
      <c r="I170" s="16">
        <f t="shared" ref="I170:I189" si="70">IF(G170&lt;=$D$14,(L170-K170)*1/(1+$D$20),0)</f>
        <v>0</v>
      </c>
      <c r="J170" s="16">
        <f t="shared" ref="J170:J189" si="71">IF(G170&lt;=$D$14,I170*$D$20,0)</f>
        <v>0</v>
      </c>
      <c r="K170" s="16">
        <f t="shared" ref="K170:K189" si="72">IF(G170&lt;=$D$14,N169*$D$17,0)</f>
        <v>0</v>
      </c>
      <c r="L170" s="26">
        <f t="shared" ref="L170:L189" si="73">IF(G170&lt;=$D$14,-$D$29,0)</f>
        <v>0</v>
      </c>
      <c r="M170" s="26">
        <f t="shared" si="56"/>
        <v>0</v>
      </c>
      <c r="N170" s="16">
        <f t="shared" ref="N170:N189" si="74">IF(G170&lt;=$D$14,N169-I170-J170,0)</f>
        <v>0</v>
      </c>
      <c r="O170" s="16"/>
      <c r="P170" s="16">
        <f t="shared" si="57"/>
        <v>0</v>
      </c>
      <c r="Q170" s="16">
        <f t="shared" si="58"/>
        <v>0</v>
      </c>
      <c r="R170" s="16">
        <f t="shared" si="59"/>
        <v>0</v>
      </c>
      <c r="S170" s="26">
        <f t="shared" si="60"/>
        <v>0</v>
      </c>
      <c r="T170" s="16">
        <f t="shared" si="61"/>
        <v>0</v>
      </c>
      <c r="U170" s="26">
        <f t="shared" si="62"/>
        <v>0</v>
      </c>
      <c r="V170" s="26">
        <f t="shared" si="63"/>
        <v>0</v>
      </c>
      <c r="W170" s="3">
        <f t="shared" si="64"/>
        <v>0</v>
      </c>
      <c r="X170" s="16">
        <f t="shared" si="65"/>
        <v>0</v>
      </c>
      <c r="Y170" s="16">
        <f t="shared" si="66"/>
        <v>0</v>
      </c>
      <c r="Z170" s="26">
        <f t="shared" si="67"/>
        <v>0</v>
      </c>
      <c r="AA170" s="26">
        <f t="shared" si="68"/>
        <v>0</v>
      </c>
      <c r="AB170" s="16">
        <f t="shared" si="69"/>
        <v>0</v>
      </c>
    </row>
    <row r="171" spans="7:28" x14ac:dyDescent="0.25">
      <c r="G171">
        <v>162</v>
      </c>
      <c r="H171" s="21">
        <v>48761</v>
      </c>
      <c r="I171" s="16">
        <f t="shared" si="70"/>
        <v>0</v>
      </c>
      <c r="J171" s="16">
        <f t="shared" si="71"/>
        <v>0</v>
      </c>
      <c r="K171" s="16">
        <f t="shared" si="72"/>
        <v>0</v>
      </c>
      <c r="L171" s="26">
        <f t="shared" si="73"/>
        <v>0</v>
      </c>
      <c r="M171" s="26">
        <f t="shared" si="56"/>
        <v>0</v>
      </c>
      <c r="N171" s="16">
        <f t="shared" si="74"/>
        <v>0</v>
      </c>
      <c r="O171" s="16"/>
      <c r="P171" s="16">
        <f t="shared" si="57"/>
        <v>0</v>
      </c>
      <c r="Q171" s="16">
        <f t="shared" si="58"/>
        <v>0</v>
      </c>
      <c r="R171" s="16">
        <f t="shared" si="59"/>
        <v>0</v>
      </c>
      <c r="S171" s="26">
        <f t="shared" si="60"/>
        <v>0</v>
      </c>
      <c r="T171" s="16">
        <f t="shared" ref="T171:T189" si="75">IF(G171&lt;=$D$14,IF($D$37="льготное",K171,N170*($D$24+3%)/12),0)</f>
        <v>0</v>
      </c>
      <c r="U171" s="26">
        <f t="shared" si="62"/>
        <v>0</v>
      </c>
      <c r="V171" s="26">
        <f t="shared" si="63"/>
        <v>0</v>
      </c>
      <c r="W171" s="3">
        <f t="shared" si="64"/>
        <v>0</v>
      </c>
      <c r="X171" s="16">
        <f t="shared" si="65"/>
        <v>0</v>
      </c>
      <c r="Y171" s="16">
        <f t="shared" si="66"/>
        <v>0</v>
      </c>
      <c r="Z171" s="26">
        <f t="shared" si="67"/>
        <v>0</v>
      </c>
      <c r="AA171" s="26">
        <f t="shared" si="68"/>
        <v>0</v>
      </c>
      <c r="AB171" s="16">
        <f t="shared" si="69"/>
        <v>0</v>
      </c>
    </row>
    <row r="172" spans="7:28" x14ac:dyDescent="0.25">
      <c r="G172">
        <v>163</v>
      </c>
      <c r="H172" s="21">
        <v>48792</v>
      </c>
      <c r="I172" s="16">
        <f t="shared" si="70"/>
        <v>0</v>
      </c>
      <c r="J172" s="16">
        <f t="shared" si="71"/>
        <v>0</v>
      </c>
      <c r="K172" s="16">
        <f t="shared" si="72"/>
        <v>0</v>
      </c>
      <c r="L172" s="26">
        <f t="shared" si="73"/>
        <v>0</v>
      </c>
      <c r="M172" s="26">
        <f t="shared" si="56"/>
        <v>0</v>
      </c>
      <c r="N172" s="16">
        <f t="shared" si="74"/>
        <v>0</v>
      </c>
      <c r="O172" s="16"/>
      <c r="P172" s="16">
        <f t="shared" si="57"/>
        <v>0</v>
      </c>
      <c r="Q172" s="16">
        <f t="shared" si="58"/>
        <v>0</v>
      </c>
      <c r="R172" s="16">
        <f t="shared" si="59"/>
        <v>0</v>
      </c>
      <c r="S172" s="26">
        <f t="shared" si="60"/>
        <v>0</v>
      </c>
      <c r="T172" s="16">
        <f t="shared" si="75"/>
        <v>0</v>
      </c>
      <c r="U172" s="26">
        <f t="shared" si="62"/>
        <v>0</v>
      </c>
      <c r="V172" s="26">
        <f t="shared" si="63"/>
        <v>0</v>
      </c>
      <c r="W172" s="3">
        <f t="shared" si="64"/>
        <v>0</v>
      </c>
      <c r="X172" s="16">
        <f t="shared" si="65"/>
        <v>0</v>
      </c>
      <c r="Y172" s="16">
        <f t="shared" si="66"/>
        <v>0</v>
      </c>
      <c r="Z172" s="26">
        <f t="shared" si="67"/>
        <v>0</v>
      </c>
      <c r="AA172" s="26">
        <f t="shared" si="68"/>
        <v>0</v>
      </c>
      <c r="AB172" s="16">
        <f t="shared" si="69"/>
        <v>0</v>
      </c>
    </row>
    <row r="173" spans="7:28" x14ac:dyDescent="0.25">
      <c r="G173">
        <v>164</v>
      </c>
      <c r="H173" s="21">
        <v>48823</v>
      </c>
      <c r="I173" s="16">
        <f t="shared" si="70"/>
        <v>0</v>
      </c>
      <c r="J173" s="16">
        <f t="shared" si="71"/>
        <v>0</v>
      </c>
      <c r="K173" s="16">
        <f t="shared" si="72"/>
        <v>0</v>
      </c>
      <c r="L173" s="26">
        <f t="shared" si="73"/>
        <v>0</v>
      </c>
      <c r="M173" s="26">
        <f t="shared" si="56"/>
        <v>0</v>
      </c>
      <c r="N173" s="16">
        <f t="shared" si="74"/>
        <v>0</v>
      </c>
      <c r="O173" s="16"/>
      <c r="P173" s="16">
        <f t="shared" si="57"/>
        <v>0</v>
      </c>
      <c r="Q173" s="16">
        <f t="shared" si="58"/>
        <v>0</v>
      </c>
      <c r="R173" s="16">
        <f t="shared" si="59"/>
        <v>0</v>
      </c>
      <c r="S173" s="26">
        <f t="shared" si="60"/>
        <v>0</v>
      </c>
      <c r="T173" s="16">
        <f t="shared" si="75"/>
        <v>0</v>
      </c>
      <c r="U173" s="26">
        <f t="shared" si="62"/>
        <v>0</v>
      </c>
      <c r="V173" s="26">
        <f t="shared" si="63"/>
        <v>0</v>
      </c>
      <c r="W173" s="3">
        <f t="shared" si="64"/>
        <v>0</v>
      </c>
      <c r="X173" s="16">
        <f t="shared" si="65"/>
        <v>0</v>
      </c>
      <c r="Y173" s="16">
        <f t="shared" si="66"/>
        <v>0</v>
      </c>
      <c r="Z173" s="26">
        <f t="shared" si="67"/>
        <v>0</v>
      </c>
      <c r="AA173" s="26">
        <f t="shared" si="68"/>
        <v>0</v>
      </c>
      <c r="AB173" s="16">
        <f t="shared" si="69"/>
        <v>0</v>
      </c>
    </row>
    <row r="174" spans="7:28" x14ac:dyDescent="0.25">
      <c r="G174">
        <v>165</v>
      </c>
      <c r="H174" s="21">
        <v>48853</v>
      </c>
      <c r="I174" s="16">
        <f t="shared" si="70"/>
        <v>0</v>
      </c>
      <c r="J174" s="16">
        <f t="shared" si="71"/>
        <v>0</v>
      </c>
      <c r="K174" s="16">
        <f t="shared" si="72"/>
        <v>0</v>
      </c>
      <c r="L174" s="26">
        <f t="shared" si="73"/>
        <v>0</v>
      </c>
      <c r="M174" s="26">
        <f t="shared" si="56"/>
        <v>0</v>
      </c>
      <c r="N174" s="16">
        <f t="shared" si="74"/>
        <v>0</v>
      </c>
      <c r="O174" s="16"/>
      <c r="P174" s="16">
        <f t="shared" si="57"/>
        <v>0</v>
      </c>
      <c r="Q174" s="16">
        <f t="shared" si="58"/>
        <v>0</v>
      </c>
      <c r="R174" s="16">
        <f t="shared" si="59"/>
        <v>0</v>
      </c>
      <c r="S174" s="26">
        <f t="shared" si="60"/>
        <v>0</v>
      </c>
      <c r="T174" s="16">
        <f t="shared" si="75"/>
        <v>0</v>
      </c>
      <c r="U174" s="26">
        <f t="shared" si="62"/>
        <v>0</v>
      </c>
      <c r="V174" s="26">
        <f t="shared" si="63"/>
        <v>0</v>
      </c>
      <c r="W174" s="3">
        <f t="shared" si="64"/>
        <v>0</v>
      </c>
      <c r="X174" s="16">
        <f t="shared" si="65"/>
        <v>0</v>
      </c>
      <c r="Y174" s="16">
        <f t="shared" si="66"/>
        <v>0</v>
      </c>
      <c r="Z174" s="26">
        <f t="shared" si="67"/>
        <v>0</v>
      </c>
      <c r="AA174" s="26">
        <f t="shared" si="68"/>
        <v>0</v>
      </c>
      <c r="AB174" s="16">
        <f t="shared" si="69"/>
        <v>0</v>
      </c>
    </row>
    <row r="175" spans="7:28" x14ac:dyDescent="0.25">
      <c r="G175">
        <v>166</v>
      </c>
      <c r="H175" s="21">
        <v>48884</v>
      </c>
      <c r="I175" s="16">
        <f t="shared" si="70"/>
        <v>0</v>
      </c>
      <c r="J175" s="16">
        <f t="shared" si="71"/>
        <v>0</v>
      </c>
      <c r="K175" s="16">
        <f t="shared" si="72"/>
        <v>0</v>
      </c>
      <c r="L175" s="26">
        <f t="shared" si="73"/>
        <v>0</v>
      </c>
      <c r="M175" s="26">
        <f t="shared" si="56"/>
        <v>0</v>
      </c>
      <c r="N175" s="16">
        <f t="shared" si="74"/>
        <v>0</v>
      </c>
      <c r="O175" s="16"/>
      <c r="P175" s="16">
        <f t="shared" si="57"/>
        <v>0</v>
      </c>
      <c r="Q175" s="16">
        <f t="shared" si="58"/>
        <v>0</v>
      </c>
      <c r="R175" s="16">
        <f t="shared" si="59"/>
        <v>0</v>
      </c>
      <c r="S175" s="26">
        <f t="shared" si="60"/>
        <v>0</v>
      </c>
      <c r="T175" s="16">
        <f t="shared" si="75"/>
        <v>0</v>
      </c>
      <c r="U175" s="26">
        <f t="shared" si="62"/>
        <v>0</v>
      </c>
      <c r="V175" s="26">
        <f t="shared" si="63"/>
        <v>0</v>
      </c>
      <c r="W175" s="3">
        <f t="shared" si="64"/>
        <v>0</v>
      </c>
      <c r="X175" s="16">
        <f t="shared" si="65"/>
        <v>0</v>
      </c>
      <c r="Y175" s="16">
        <f t="shared" si="66"/>
        <v>0</v>
      </c>
      <c r="Z175" s="26">
        <f t="shared" si="67"/>
        <v>0</v>
      </c>
      <c r="AA175" s="26">
        <f t="shared" si="68"/>
        <v>0</v>
      </c>
      <c r="AB175" s="16">
        <f t="shared" si="69"/>
        <v>0</v>
      </c>
    </row>
    <row r="176" spans="7:28" x14ac:dyDescent="0.25">
      <c r="G176">
        <v>167</v>
      </c>
      <c r="H176" s="21">
        <v>48914</v>
      </c>
      <c r="I176" s="16">
        <f t="shared" si="70"/>
        <v>0</v>
      </c>
      <c r="J176" s="16">
        <f t="shared" si="71"/>
        <v>0</v>
      </c>
      <c r="K176" s="16">
        <f t="shared" si="72"/>
        <v>0</v>
      </c>
      <c r="L176" s="26">
        <f t="shared" si="73"/>
        <v>0</v>
      </c>
      <c r="M176" s="26">
        <f t="shared" si="56"/>
        <v>0</v>
      </c>
      <c r="N176" s="16">
        <f t="shared" si="74"/>
        <v>0</v>
      </c>
      <c r="O176" s="16"/>
      <c r="P176" s="16">
        <f t="shared" si="57"/>
        <v>0</v>
      </c>
      <c r="Q176" s="16">
        <f t="shared" si="58"/>
        <v>0</v>
      </c>
      <c r="R176" s="16">
        <f t="shared" si="59"/>
        <v>0</v>
      </c>
      <c r="S176" s="26">
        <f t="shared" si="60"/>
        <v>0</v>
      </c>
      <c r="T176" s="16">
        <f t="shared" si="75"/>
        <v>0</v>
      </c>
      <c r="U176" s="26">
        <f t="shared" si="62"/>
        <v>0</v>
      </c>
      <c r="V176" s="26">
        <f t="shared" si="63"/>
        <v>0</v>
      </c>
      <c r="W176" s="3">
        <f t="shared" si="64"/>
        <v>0</v>
      </c>
      <c r="X176" s="16">
        <f t="shared" si="65"/>
        <v>0</v>
      </c>
      <c r="Y176" s="16">
        <f t="shared" si="66"/>
        <v>0</v>
      </c>
      <c r="Z176" s="26">
        <f t="shared" si="67"/>
        <v>0</v>
      </c>
      <c r="AA176" s="26">
        <f t="shared" si="68"/>
        <v>0</v>
      </c>
      <c r="AB176" s="16">
        <f t="shared" si="69"/>
        <v>0</v>
      </c>
    </row>
    <row r="177" spans="7:28" x14ac:dyDescent="0.25">
      <c r="G177">
        <v>168</v>
      </c>
      <c r="H177" s="21">
        <v>48945</v>
      </c>
      <c r="I177" s="16">
        <f t="shared" si="70"/>
        <v>0</v>
      </c>
      <c r="J177" s="16">
        <f t="shared" si="71"/>
        <v>0</v>
      </c>
      <c r="K177" s="16">
        <f t="shared" si="72"/>
        <v>0</v>
      </c>
      <c r="L177" s="26">
        <f t="shared" si="73"/>
        <v>0</v>
      </c>
      <c r="M177" s="26">
        <f t="shared" si="56"/>
        <v>0</v>
      </c>
      <c r="N177" s="16">
        <f t="shared" si="74"/>
        <v>0</v>
      </c>
      <c r="O177" s="16"/>
      <c r="P177" s="16">
        <f t="shared" si="57"/>
        <v>0</v>
      </c>
      <c r="Q177" s="16">
        <f t="shared" si="58"/>
        <v>0</v>
      </c>
      <c r="R177" s="16">
        <f t="shared" si="59"/>
        <v>0</v>
      </c>
      <c r="S177" s="26">
        <f t="shared" si="60"/>
        <v>0</v>
      </c>
      <c r="T177" s="16">
        <f t="shared" si="75"/>
        <v>0</v>
      </c>
      <c r="U177" s="26">
        <f t="shared" si="62"/>
        <v>0</v>
      </c>
      <c r="V177" s="26">
        <f t="shared" si="63"/>
        <v>0</v>
      </c>
      <c r="W177" s="3">
        <f t="shared" si="64"/>
        <v>0</v>
      </c>
      <c r="X177" s="16">
        <f t="shared" si="65"/>
        <v>0</v>
      </c>
      <c r="Y177" s="16">
        <f t="shared" si="66"/>
        <v>0</v>
      </c>
      <c r="Z177" s="26">
        <f t="shared" si="67"/>
        <v>0</v>
      </c>
      <c r="AA177" s="26">
        <f t="shared" si="68"/>
        <v>0</v>
      </c>
      <c r="AB177" s="16">
        <f t="shared" si="69"/>
        <v>0</v>
      </c>
    </row>
    <row r="178" spans="7:28" x14ac:dyDescent="0.25">
      <c r="G178">
        <v>169</v>
      </c>
      <c r="H178" s="21">
        <v>48976</v>
      </c>
      <c r="I178" s="16">
        <f t="shared" si="70"/>
        <v>0</v>
      </c>
      <c r="J178" s="16">
        <f t="shared" si="71"/>
        <v>0</v>
      </c>
      <c r="K178" s="16">
        <f t="shared" si="72"/>
        <v>0</v>
      </c>
      <c r="L178" s="26">
        <f t="shared" si="73"/>
        <v>0</v>
      </c>
      <c r="M178" s="26">
        <f t="shared" si="56"/>
        <v>0</v>
      </c>
      <c r="N178" s="16">
        <f t="shared" si="74"/>
        <v>0</v>
      </c>
      <c r="O178" s="16"/>
      <c r="P178" s="16">
        <f t="shared" si="57"/>
        <v>0</v>
      </c>
      <c r="Q178" s="16">
        <f t="shared" si="58"/>
        <v>0</v>
      </c>
      <c r="R178" s="16">
        <f t="shared" si="59"/>
        <v>0</v>
      </c>
      <c r="S178" s="26">
        <f t="shared" si="60"/>
        <v>0</v>
      </c>
      <c r="T178" s="16">
        <f t="shared" si="75"/>
        <v>0</v>
      </c>
      <c r="U178" s="26">
        <f t="shared" si="62"/>
        <v>0</v>
      </c>
      <c r="V178" s="26">
        <f t="shared" si="63"/>
        <v>0</v>
      </c>
      <c r="W178" s="3">
        <f t="shared" si="64"/>
        <v>0</v>
      </c>
      <c r="X178" s="16">
        <f t="shared" si="65"/>
        <v>0</v>
      </c>
      <c r="Y178" s="16">
        <f t="shared" si="66"/>
        <v>0</v>
      </c>
      <c r="Z178" s="26">
        <f t="shared" si="67"/>
        <v>0</v>
      </c>
      <c r="AA178" s="26">
        <f t="shared" si="68"/>
        <v>0</v>
      </c>
      <c r="AB178" s="16">
        <f t="shared" si="69"/>
        <v>0</v>
      </c>
    </row>
    <row r="179" spans="7:28" x14ac:dyDescent="0.25">
      <c r="G179">
        <v>170</v>
      </c>
      <c r="H179" s="21">
        <v>49004</v>
      </c>
      <c r="I179" s="16">
        <f t="shared" si="70"/>
        <v>0</v>
      </c>
      <c r="J179" s="16">
        <f t="shared" si="71"/>
        <v>0</v>
      </c>
      <c r="K179" s="16">
        <f t="shared" si="72"/>
        <v>0</v>
      </c>
      <c r="L179" s="26">
        <f t="shared" si="73"/>
        <v>0</v>
      </c>
      <c r="M179" s="26">
        <f t="shared" si="56"/>
        <v>0</v>
      </c>
      <c r="N179" s="16">
        <f t="shared" si="74"/>
        <v>0</v>
      </c>
      <c r="O179" s="16"/>
      <c r="P179" s="16">
        <f t="shared" si="57"/>
        <v>0</v>
      </c>
      <c r="Q179" s="16">
        <f t="shared" si="58"/>
        <v>0</v>
      </c>
      <c r="R179" s="16">
        <f t="shared" si="59"/>
        <v>0</v>
      </c>
      <c r="S179" s="26">
        <f t="shared" si="60"/>
        <v>0</v>
      </c>
      <c r="T179" s="16">
        <f t="shared" si="75"/>
        <v>0</v>
      </c>
      <c r="U179" s="26">
        <f t="shared" si="62"/>
        <v>0</v>
      </c>
      <c r="V179" s="26">
        <f t="shared" si="63"/>
        <v>0</v>
      </c>
      <c r="W179" s="3">
        <f t="shared" si="64"/>
        <v>0</v>
      </c>
      <c r="X179" s="16">
        <f t="shared" si="65"/>
        <v>0</v>
      </c>
      <c r="Y179" s="16">
        <f t="shared" si="66"/>
        <v>0</v>
      </c>
      <c r="Z179" s="26">
        <f t="shared" si="67"/>
        <v>0</v>
      </c>
      <c r="AA179" s="26">
        <f t="shared" si="68"/>
        <v>0</v>
      </c>
      <c r="AB179" s="16">
        <f t="shared" si="69"/>
        <v>0</v>
      </c>
    </row>
    <row r="180" spans="7:28" x14ac:dyDescent="0.25">
      <c r="G180">
        <v>171</v>
      </c>
      <c r="H180" s="21">
        <v>49035</v>
      </c>
      <c r="I180" s="16">
        <f t="shared" si="70"/>
        <v>0</v>
      </c>
      <c r="J180" s="16">
        <f t="shared" si="71"/>
        <v>0</v>
      </c>
      <c r="K180" s="16">
        <f t="shared" si="72"/>
        <v>0</v>
      </c>
      <c r="L180" s="26">
        <f t="shared" si="73"/>
        <v>0</v>
      </c>
      <c r="M180" s="26">
        <f t="shared" si="56"/>
        <v>0</v>
      </c>
      <c r="N180" s="16">
        <f t="shared" si="74"/>
        <v>0</v>
      </c>
      <c r="O180" s="16"/>
      <c r="P180" s="16">
        <f t="shared" si="57"/>
        <v>0</v>
      </c>
      <c r="Q180" s="16">
        <f t="shared" si="58"/>
        <v>0</v>
      </c>
      <c r="R180" s="16">
        <f t="shared" si="59"/>
        <v>0</v>
      </c>
      <c r="S180" s="26">
        <f t="shared" si="60"/>
        <v>0</v>
      </c>
      <c r="T180" s="16">
        <f t="shared" si="75"/>
        <v>0</v>
      </c>
      <c r="U180" s="26">
        <f t="shared" si="62"/>
        <v>0</v>
      </c>
      <c r="V180" s="26">
        <f t="shared" si="63"/>
        <v>0</v>
      </c>
      <c r="W180" s="3">
        <f t="shared" si="64"/>
        <v>0</v>
      </c>
      <c r="X180" s="16">
        <f t="shared" si="65"/>
        <v>0</v>
      </c>
      <c r="Y180" s="16">
        <f t="shared" si="66"/>
        <v>0</v>
      </c>
      <c r="Z180" s="26">
        <f t="shared" si="67"/>
        <v>0</v>
      </c>
      <c r="AA180" s="26">
        <f t="shared" si="68"/>
        <v>0</v>
      </c>
      <c r="AB180" s="16">
        <f t="shared" si="69"/>
        <v>0</v>
      </c>
    </row>
    <row r="181" spans="7:28" x14ac:dyDescent="0.25">
      <c r="G181">
        <v>172</v>
      </c>
      <c r="H181" s="21">
        <v>49065</v>
      </c>
      <c r="I181" s="16">
        <f t="shared" si="70"/>
        <v>0</v>
      </c>
      <c r="J181" s="16">
        <f t="shared" si="71"/>
        <v>0</v>
      </c>
      <c r="K181" s="16">
        <f t="shared" si="72"/>
        <v>0</v>
      </c>
      <c r="L181" s="26">
        <f t="shared" si="73"/>
        <v>0</v>
      </c>
      <c r="M181" s="26">
        <f t="shared" si="56"/>
        <v>0</v>
      </c>
      <c r="N181" s="16">
        <f t="shared" si="74"/>
        <v>0</v>
      </c>
      <c r="O181" s="16"/>
      <c r="P181" s="16">
        <f t="shared" si="57"/>
        <v>0</v>
      </c>
      <c r="Q181" s="16">
        <f t="shared" si="58"/>
        <v>0</v>
      </c>
      <c r="R181" s="16">
        <f t="shared" si="59"/>
        <v>0</v>
      </c>
      <c r="S181" s="26">
        <f t="shared" si="60"/>
        <v>0</v>
      </c>
      <c r="T181" s="16">
        <f t="shared" si="75"/>
        <v>0</v>
      </c>
      <c r="U181" s="26">
        <f t="shared" si="62"/>
        <v>0</v>
      </c>
      <c r="V181" s="26">
        <f t="shared" si="63"/>
        <v>0</v>
      </c>
      <c r="W181" s="3">
        <f t="shared" si="64"/>
        <v>0</v>
      </c>
      <c r="X181" s="16">
        <f t="shared" si="65"/>
        <v>0</v>
      </c>
      <c r="Y181" s="16">
        <f t="shared" si="66"/>
        <v>0</v>
      </c>
      <c r="Z181" s="26">
        <f t="shared" si="67"/>
        <v>0</v>
      </c>
      <c r="AA181" s="26">
        <f t="shared" si="68"/>
        <v>0</v>
      </c>
      <c r="AB181" s="16">
        <f t="shared" si="69"/>
        <v>0</v>
      </c>
    </row>
    <row r="182" spans="7:28" x14ac:dyDescent="0.25">
      <c r="G182">
        <v>173</v>
      </c>
      <c r="H182" s="21">
        <v>49096</v>
      </c>
      <c r="I182" s="16">
        <f t="shared" si="70"/>
        <v>0</v>
      </c>
      <c r="J182" s="16">
        <f t="shared" si="71"/>
        <v>0</v>
      </c>
      <c r="K182" s="16">
        <f t="shared" si="72"/>
        <v>0</v>
      </c>
      <c r="L182" s="26">
        <f t="shared" si="73"/>
        <v>0</v>
      </c>
      <c r="M182" s="26">
        <f t="shared" si="56"/>
        <v>0</v>
      </c>
      <c r="N182" s="16">
        <f t="shared" si="74"/>
        <v>0</v>
      </c>
      <c r="O182" s="16"/>
      <c r="P182" s="16">
        <f t="shared" si="57"/>
        <v>0</v>
      </c>
      <c r="Q182" s="16">
        <f t="shared" si="58"/>
        <v>0</v>
      </c>
      <c r="R182" s="16">
        <f t="shared" si="59"/>
        <v>0</v>
      </c>
      <c r="S182" s="26">
        <f t="shared" si="60"/>
        <v>0</v>
      </c>
      <c r="T182" s="16">
        <f t="shared" si="75"/>
        <v>0</v>
      </c>
      <c r="U182" s="26">
        <f t="shared" si="62"/>
        <v>0</v>
      </c>
      <c r="V182" s="26">
        <f t="shared" si="63"/>
        <v>0</v>
      </c>
      <c r="W182" s="3">
        <f t="shared" si="64"/>
        <v>0</v>
      </c>
      <c r="X182" s="16">
        <f t="shared" si="65"/>
        <v>0</v>
      </c>
      <c r="Y182" s="16">
        <f t="shared" si="66"/>
        <v>0</v>
      </c>
      <c r="Z182" s="26">
        <f t="shared" si="67"/>
        <v>0</v>
      </c>
      <c r="AA182" s="26">
        <f t="shared" si="68"/>
        <v>0</v>
      </c>
      <c r="AB182" s="16">
        <f t="shared" si="69"/>
        <v>0</v>
      </c>
    </row>
    <row r="183" spans="7:28" x14ac:dyDescent="0.25">
      <c r="G183">
        <v>174</v>
      </c>
      <c r="H183" s="21">
        <v>49126</v>
      </c>
      <c r="I183" s="16">
        <f t="shared" si="70"/>
        <v>0</v>
      </c>
      <c r="J183" s="16">
        <f t="shared" si="71"/>
        <v>0</v>
      </c>
      <c r="K183" s="16">
        <f t="shared" si="72"/>
        <v>0</v>
      </c>
      <c r="L183" s="26">
        <f t="shared" si="73"/>
        <v>0</v>
      </c>
      <c r="M183" s="26">
        <f t="shared" si="56"/>
        <v>0</v>
      </c>
      <c r="N183" s="16">
        <f t="shared" si="74"/>
        <v>0</v>
      </c>
      <c r="O183" s="16"/>
      <c r="P183" s="16">
        <f t="shared" si="57"/>
        <v>0</v>
      </c>
      <c r="Q183" s="16">
        <f t="shared" si="58"/>
        <v>0</v>
      </c>
      <c r="R183" s="16">
        <f t="shared" si="59"/>
        <v>0</v>
      </c>
      <c r="S183" s="26">
        <f t="shared" si="60"/>
        <v>0</v>
      </c>
      <c r="T183" s="16">
        <f t="shared" si="75"/>
        <v>0</v>
      </c>
      <c r="U183" s="26">
        <f t="shared" si="62"/>
        <v>0</v>
      </c>
      <c r="V183" s="26">
        <f t="shared" si="63"/>
        <v>0</v>
      </c>
      <c r="W183" s="3">
        <f t="shared" si="64"/>
        <v>0</v>
      </c>
      <c r="X183" s="16">
        <f t="shared" si="65"/>
        <v>0</v>
      </c>
      <c r="Y183" s="16">
        <f t="shared" si="66"/>
        <v>0</v>
      </c>
      <c r="Z183" s="26">
        <f t="shared" si="67"/>
        <v>0</v>
      </c>
      <c r="AA183" s="26">
        <f t="shared" si="68"/>
        <v>0</v>
      </c>
      <c r="AB183" s="16">
        <f t="shared" si="69"/>
        <v>0</v>
      </c>
    </row>
    <row r="184" spans="7:28" x14ac:dyDescent="0.25">
      <c r="G184">
        <v>175</v>
      </c>
      <c r="H184" s="21">
        <v>49157</v>
      </c>
      <c r="I184" s="16">
        <f t="shared" si="70"/>
        <v>0</v>
      </c>
      <c r="J184" s="16">
        <f t="shared" si="71"/>
        <v>0</v>
      </c>
      <c r="K184" s="16">
        <f t="shared" si="72"/>
        <v>0</v>
      </c>
      <c r="L184" s="26">
        <f t="shared" si="73"/>
        <v>0</v>
      </c>
      <c r="M184" s="26">
        <f t="shared" si="56"/>
        <v>0</v>
      </c>
      <c r="N184" s="16">
        <f t="shared" si="74"/>
        <v>0</v>
      </c>
      <c r="O184" s="16"/>
      <c r="P184" s="16">
        <f t="shared" si="57"/>
        <v>0</v>
      </c>
      <c r="Q184" s="16">
        <f t="shared" si="58"/>
        <v>0</v>
      </c>
      <c r="R184" s="16">
        <f t="shared" si="59"/>
        <v>0</v>
      </c>
      <c r="S184" s="26">
        <f t="shared" si="60"/>
        <v>0</v>
      </c>
      <c r="T184" s="16">
        <f t="shared" si="75"/>
        <v>0</v>
      </c>
      <c r="U184" s="26">
        <f t="shared" si="62"/>
        <v>0</v>
      </c>
      <c r="V184" s="26">
        <f t="shared" si="63"/>
        <v>0</v>
      </c>
      <c r="W184" s="3">
        <f t="shared" si="64"/>
        <v>0</v>
      </c>
      <c r="X184" s="16">
        <f t="shared" si="65"/>
        <v>0</v>
      </c>
      <c r="Y184" s="16">
        <f t="shared" si="66"/>
        <v>0</v>
      </c>
      <c r="Z184" s="26">
        <f t="shared" si="67"/>
        <v>0</v>
      </c>
      <c r="AA184" s="26">
        <f t="shared" si="68"/>
        <v>0</v>
      </c>
      <c r="AB184" s="16">
        <f t="shared" si="69"/>
        <v>0</v>
      </c>
    </row>
    <row r="185" spans="7:28" x14ac:dyDescent="0.25">
      <c r="G185">
        <v>176</v>
      </c>
      <c r="H185" s="21">
        <v>49188</v>
      </c>
      <c r="I185" s="16">
        <f t="shared" si="70"/>
        <v>0</v>
      </c>
      <c r="J185" s="16">
        <f t="shared" si="71"/>
        <v>0</v>
      </c>
      <c r="K185" s="16">
        <f t="shared" si="72"/>
        <v>0</v>
      </c>
      <c r="L185" s="26">
        <f t="shared" si="73"/>
        <v>0</v>
      </c>
      <c r="M185" s="26">
        <f t="shared" si="56"/>
        <v>0</v>
      </c>
      <c r="N185" s="16">
        <f t="shared" si="74"/>
        <v>0</v>
      </c>
      <c r="O185" s="16"/>
      <c r="P185" s="16">
        <f t="shared" si="57"/>
        <v>0</v>
      </c>
      <c r="Q185" s="16">
        <f t="shared" si="58"/>
        <v>0</v>
      </c>
      <c r="R185" s="16">
        <f t="shared" si="59"/>
        <v>0</v>
      </c>
      <c r="S185" s="26">
        <f t="shared" si="60"/>
        <v>0</v>
      </c>
      <c r="T185" s="16">
        <f t="shared" si="75"/>
        <v>0</v>
      </c>
      <c r="U185" s="26">
        <f t="shared" si="62"/>
        <v>0</v>
      </c>
      <c r="V185" s="26">
        <f t="shared" si="63"/>
        <v>0</v>
      </c>
      <c r="W185" s="3">
        <f t="shared" si="64"/>
        <v>0</v>
      </c>
      <c r="X185" s="16">
        <f t="shared" si="65"/>
        <v>0</v>
      </c>
      <c r="Y185" s="16">
        <f t="shared" si="66"/>
        <v>0</v>
      </c>
      <c r="Z185" s="26">
        <f t="shared" si="67"/>
        <v>0</v>
      </c>
      <c r="AA185" s="26">
        <f t="shared" si="68"/>
        <v>0</v>
      </c>
      <c r="AB185" s="16">
        <f t="shared" si="69"/>
        <v>0</v>
      </c>
    </row>
    <row r="186" spans="7:28" x14ac:dyDescent="0.25">
      <c r="G186">
        <v>177</v>
      </c>
      <c r="H186" s="21">
        <v>49218</v>
      </c>
      <c r="I186" s="16">
        <f t="shared" si="70"/>
        <v>0</v>
      </c>
      <c r="J186" s="16">
        <f t="shared" si="71"/>
        <v>0</v>
      </c>
      <c r="K186" s="16">
        <f t="shared" si="72"/>
        <v>0</v>
      </c>
      <c r="L186" s="26">
        <f t="shared" si="73"/>
        <v>0</v>
      </c>
      <c r="M186" s="26">
        <f t="shared" si="56"/>
        <v>0</v>
      </c>
      <c r="N186" s="16">
        <f t="shared" si="74"/>
        <v>0</v>
      </c>
      <c r="O186" s="16"/>
      <c r="P186" s="16">
        <f t="shared" si="57"/>
        <v>0</v>
      </c>
      <c r="Q186" s="16">
        <f t="shared" si="58"/>
        <v>0</v>
      </c>
      <c r="R186" s="16">
        <f t="shared" si="59"/>
        <v>0</v>
      </c>
      <c r="S186" s="26">
        <f t="shared" si="60"/>
        <v>0</v>
      </c>
      <c r="T186" s="16">
        <f t="shared" si="75"/>
        <v>0</v>
      </c>
      <c r="U186" s="26">
        <f t="shared" si="62"/>
        <v>0</v>
      </c>
      <c r="V186" s="26">
        <f t="shared" si="63"/>
        <v>0</v>
      </c>
      <c r="W186" s="3">
        <f t="shared" si="64"/>
        <v>0</v>
      </c>
      <c r="X186" s="16">
        <f t="shared" si="65"/>
        <v>0</v>
      </c>
      <c r="Y186" s="16">
        <f t="shared" si="66"/>
        <v>0</v>
      </c>
      <c r="Z186" s="26">
        <f t="shared" si="67"/>
        <v>0</v>
      </c>
      <c r="AA186" s="26">
        <f t="shared" si="68"/>
        <v>0</v>
      </c>
      <c r="AB186" s="16">
        <f t="shared" si="69"/>
        <v>0</v>
      </c>
    </row>
    <row r="187" spans="7:28" x14ac:dyDescent="0.25">
      <c r="G187">
        <v>178</v>
      </c>
      <c r="H187" s="21">
        <v>49249</v>
      </c>
      <c r="I187" s="16">
        <f t="shared" si="70"/>
        <v>0</v>
      </c>
      <c r="J187" s="16">
        <f t="shared" si="71"/>
        <v>0</v>
      </c>
      <c r="K187" s="16">
        <f t="shared" si="72"/>
        <v>0</v>
      </c>
      <c r="L187" s="26">
        <f t="shared" si="73"/>
        <v>0</v>
      </c>
      <c r="M187" s="26">
        <f t="shared" si="56"/>
        <v>0</v>
      </c>
      <c r="N187" s="16">
        <f t="shared" si="74"/>
        <v>0</v>
      </c>
      <c r="O187" s="16"/>
      <c r="P187" s="16">
        <f t="shared" si="57"/>
        <v>0</v>
      </c>
      <c r="Q187" s="16">
        <f t="shared" si="58"/>
        <v>0</v>
      </c>
      <c r="R187" s="16">
        <f t="shared" si="59"/>
        <v>0</v>
      </c>
      <c r="S187" s="26">
        <f t="shared" si="60"/>
        <v>0</v>
      </c>
      <c r="T187" s="16">
        <f t="shared" si="75"/>
        <v>0</v>
      </c>
      <c r="U187" s="26">
        <f t="shared" si="62"/>
        <v>0</v>
      </c>
      <c r="V187" s="26">
        <f t="shared" si="63"/>
        <v>0</v>
      </c>
      <c r="W187" s="3">
        <f t="shared" si="64"/>
        <v>0</v>
      </c>
      <c r="X187" s="16">
        <f t="shared" si="65"/>
        <v>0</v>
      </c>
      <c r="Y187" s="16">
        <f t="shared" si="66"/>
        <v>0</v>
      </c>
      <c r="Z187" s="26">
        <f t="shared" si="67"/>
        <v>0</v>
      </c>
      <c r="AA187" s="26">
        <f t="shared" si="68"/>
        <v>0</v>
      </c>
      <c r="AB187" s="16">
        <f t="shared" si="69"/>
        <v>0</v>
      </c>
    </row>
    <row r="188" spans="7:28" x14ac:dyDescent="0.25">
      <c r="G188">
        <v>179</v>
      </c>
      <c r="H188" s="21">
        <v>49279</v>
      </c>
      <c r="I188" s="16">
        <f t="shared" si="70"/>
        <v>0</v>
      </c>
      <c r="J188" s="16">
        <f t="shared" si="71"/>
        <v>0</v>
      </c>
      <c r="K188" s="16">
        <f t="shared" si="72"/>
        <v>0</v>
      </c>
      <c r="L188" s="26">
        <f t="shared" si="73"/>
        <v>0</v>
      </c>
      <c r="M188" s="26">
        <f t="shared" si="56"/>
        <v>0</v>
      </c>
      <c r="N188" s="16">
        <f t="shared" si="74"/>
        <v>0</v>
      </c>
      <c r="O188" s="16"/>
      <c r="P188" s="16">
        <f t="shared" si="57"/>
        <v>0</v>
      </c>
      <c r="Q188" s="16">
        <f t="shared" si="58"/>
        <v>0</v>
      </c>
      <c r="R188" s="16">
        <f t="shared" si="59"/>
        <v>0</v>
      </c>
      <c r="S188" s="26">
        <f t="shared" si="60"/>
        <v>0</v>
      </c>
      <c r="T188" s="16">
        <f t="shared" si="75"/>
        <v>0</v>
      </c>
      <c r="U188" s="26">
        <f t="shared" si="62"/>
        <v>0</v>
      </c>
      <c r="V188" s="26">
        <f t="shared" si="63"/>
        <v>0</v>
      </c>
      <c r="W188" s="3">
        <f t="shared" si="64"/>
        <v>0</v>
      </c>
      <c r="X188" s="16">
        <f t="shared" si="65"/>
        <v>0</v>
      </c>
      <c r="Y188" s="16">
        <f t="shared" si="66"/>
        <v>0</v>
      </c>
      <c r="Z188" s="26">
        <f t="shared" si="67"/>
        <v>0</v>
      </c>
      <c r="AA188" s="26">
        <f t="shared" si="68"/>
        <v>0</v>
      </c>
      <c r="AB188" s="16">
        <f t="shared" si="69"/>
        <v>0</v>
      </c>
    </row>
    <row r="189" spans="7:28" x14ac:dyDescent="0.25">
      <c r="G189">
        <v>180</v>
      </c>
      <c r="H189" s="21">
        <v>49310</v>
      </c>
      <c r="I189" s="16">
        <f t="shared" si="70"/>
        <v>0</v>
      </c>
      <c r="J189" s="16">
        <f t="shared" si="71"/>
        <v>0</v>
      </c>
      <c r="K189" s="16">
        <f t="shared" si="72"/>
        <v>0</v>
      </c>
      <c r="L189" s="26">
        <f t="shared" si="73"/>
        <v>0</v>
      </c>
      <c r="M189" s="26">
        <f t="shared" si="56"/>
        <v>0</v>
      </c>
      <c r="N189" s="16">
        <f t="shared" si="74"/>
        <v>0</v>
      </c>
      <c r="O189" s="16"/>
      <c r="P189" s="16">
        <f t="shared" si="57"/>
        <v>0</v>
      </c>
      <c r="Q189" s="16">
        <f t="shared" si="58"/>
        <v>0</v>
      </c>
      <c r="R189" s="16">
        <f t="shared" si="59"/>
        <v>0</v>
      </c>
      <c r="S189" s="26">
        <f t="shared" si="60"/>
        <v>0</v>
      </c>
      <c r="T189" s="16">
        <f t="shared" si="75"/>
        <v>0</v>
      </c>
      <c r="U189" s="26">
        <f t="shared" si="62"/>
        <v>0</v>
      </c>
      <c r="V189" s="26">
        <f t="shared" si="63"/>
        <v>0</v>
      </c>
      <c r="W189" s="3">
        <f t="shared" si="64"/>
        <v>0</v>
      </c>
      <c r="X189" s="16">
        <f t="shared" si="65"/>
        <v>0</v>
      </c>
      <c r="Y189" s="16">
        <f t="shared" si="66"/>
        <v>0</v>
      </c>
      <c r="Z189" s="26">
        <f t="shared" si="67"/>
        <v>0</v>
      </c>
      <c r="AA189" s="26">
        <f t="shared" si="68"/>
        <v>0</v>
      </c>
      <c r="AB189" s="16">
        <f t="shared" si="69"/>
        <v>0</v>
      </c>
    </row>
  </sheetData>
  <mergeCells count="41">
    <mergeCell ref="AB6:AB7"/>
    <mergeCell ref="R6:R7"/>
    <mergeCell ref="P6:P7"/>
    <mergeCell ref="M6:M7"/>
    <mergeCell ref="V6:V7"/>
    <mergeCell ref="AA6:AA7"/>
    <mergeCell ref="Y6:Y7"/>
    <mergeCell ref="A26:C26"/>
    <mergeCell ref="A17:C17"/>
    <mergeCell ref="A18:C18"/>
    <mergeCell ref="Z6:Z7"/>
    <mergeCell ref="G6:G7"/>
    <mergeCell ref="I6:J6"/>
    <mergeCell ref="U6:U7"/>
    <mergeCell ref="K6:K7"/>
    <mergeCell ref="X6:X7"/>
    <mergeCell ref="T6:T7"/>
    <mergeCell ref="L6:L7"/>
    <mergeCell ref="N6:N7"/>
    <mergeCell ref="O6:O7"/>
    <mergeCell ref="S6:S7"/>
    <mergeCell ref="W6:W7"/>
    <mergeCell ref="Q6:Q7"/>
    <mergeCell ref="A29:C29"/>
    <mergeCell ref="A31:C31"/>
    <mergeCell ref="A32:C32"/>
    <mergeCell ref="A35:C35"/>
    <mergeCell ref="A28:C28"/>
    <mergeCell ref="F8:G8"/>
    <mergeCell ref="A24:C24"/>
    <mergeCell ref="A19:C19"/>
    <mergeCell ref="A20:C20"/>
    <mergeCell ref="A21:C21"/>
    <mergeCell ref="A11:C11"/>
    <mergeCell ref="A12:C12"/>
    <mergeCell ref="A13:C13"/>
    <mergeCell ref="A14:C14"/>
    <mergeCell ref="A15:C15"/>
    <mergeCell ref="A16:C16"/>
    <mergeCell ref="A22:C22"/>
    <mergeCell ref="A23:C23"/>
  </mergeCells>
  <pageMargins left="0.7" right="0.7" top="0.75" bottom="0.75" header="0.3" footer="0.3"/>
  <ignoredErrors>
    <ignoredError sqref="D16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AA189"/>
  <sheetViews>
    <sheetView topLeftCell="L26" zoomScale="80" zoomScaleNormal="80" workbookViewId="0">
      <selection activeCell="O18" sqref="O18:Q20"/>
    </sheetView>
  </sheetViews>
  <sheetFormatPr defaultRowHeight="15" x14ac:dyDescent="0.25"/>
  <cols>
    <col min="1" max="1" width="9.140625" customWidth="1"/>
    <col min="3" max="3" width="9.5703125" bestFit="1" customWidth="1"/>
    <col min="4" max="4" width="15.7109375" customWidth="1"/>
    <col min="6" max="6" width="11.28515625" bestFit="1" customWidth="1"/>
    <col min="8" max="8" width="10.140625" bestFit="1" customWidth="1"/>
    <col min="9" max="9" width="14.5703125" bestFit="1" customWidth="1"/>
    <col min="10" max="10" width="17" customWidth="1"/>
    <col min="11" max="11" width="17.7109375" customWidth="1"/>
    <col min="12" max="13" width="15.28515625" style="24" customWidth="1"/>
    <col min="14" max="14" width="18.42578125" customWidth="1"/>
    <col min="15" max="15" width="13" customWidth="1"/>
    <col min="16" max="16" width="14.7109375" hidden="1" customWidth="1"/>
    <col min="17" max="17" width="15.85546875" hidden="1" customWidth="1"/>
    <col min="18" max="18" width="18.7109375" style="24" hidden="1" customWidth="1"/>
    <col min="19" max="19" width="12.140625" hidden="1" customWidth="1"/>
    <col min="20" max="21" width="18.42578125" style="24" customWidth="1"/>
    <col min="22" max="22" width="20.42578125" customWidth="1"/>
    <col min="23" max="24" width="18.42578125" customWidth="1"/>
    <col min="25" max="26" width="21.42578125" style="24" customWidth="1"/>
    <col min="27" max="28" width="14.5703125" bestFit="1" customWidth="1"/>
  </cols>
  <sheetData>
    <row r="1" spans="1:27" x14ac:dyDescent="0.25">
      <c r="K1" t="s">
        <v>38</v>
      </c>
      <c r="O1" t="s">
        <v>39</v>
      </c>
      <c r="V1" t="s">
        <v>40</v>
      </c>
      <c r="W1" t="s">
        <v>41</v>
      </c>
    </row>
    <row r="3" spans="1:27" x14ac:dyDescent="0.25">
      <c r="G3" t="s">
        <v>46</v>
      </c>
      <c r="L3" s="30" t="e">
        <f>XIRR(L9:L189,H9:H189)</f>
        <v>#NUM!</v>
      </c>
      <c r="M3" s="30" t="e">
        <f>XIRR(M9:M189,H9:H189)</f>
        <v>#NUM!</v>
      </c>
      <c r="R3" s="30" t="e">
        <f>XIRR(R9:R189,H9:H189)</f>
        <v>#NUM!</v>
      </c>
      <c r="T3" s="30" t="e">
        <f>XIRR(T9:T189,H9:H189)</f>
        <v>#NUM!</v>
      </c>
      <c r="U3" s="30" t="e">
        <f>XIRR(U9:U189,H9:H189)</f>
        <v>#NUM!</v>
      </c>
      <c r="X3" s="17">
        <f>SUM(V4:X4)</f>
        <v>2083640075.4916673</v>
      </c>
      <c r="Y3" s="30" t="e">
        <f>XIRR(Y9:Y189,H9:H189)</f>
        <v>#NUM!</v>
      </c>
      <c r="Z3" s="30" t="e">
        <f>XIRR(Z9:Z189,H9:H189)</f>
        <v>#NUM!</v>
      </c>
    </row>
    <row r="4" spans="1:27" x14ac:dyDescent="0.25">
      <c r="I4" s="16">
        <f>SUM(I8:I189)</f>
        <v>2444166.6666666688</v>
      </c>
      <c r="J4" s="16">
        <f>SUM(J8:J189)</f>
        <v>488833.33333333343</v>
      </c>
      <c r="K4" s="16">
        <f>SUM(K8:K189)</f>
        <v>10415956789.583336</v>
      </c>
      <c r="L4" s="26">
        <f>SUM(L10:L189)+D19</f>
        <v>10420146789.583338</v>
      </c>
      <c r="M4" s="26">
        <f>SUM(M10:M189)+D19</f>
        <v>10420155710.791672</v>
      </c>
      <c r="N4" s="16"/>
      <c r="O4" s="16">
        <f>SUM(O9:O189)</f>
        <v>698333.33333333337</v>
      </c>
      <c r="P4" s="16"/>
      <c r="Q4" s="16"/>
      <c r="R4" s="26">
        <f>SUM(R10:R189)</f>
        <v>7337098670.4860983</v>
      </c>
      <c r="S4" s="16"/>
      <c r="V4" s="16">
        <f>SUM(V8:V189)</f>
        <v>2083191357.9166675</v>
      </c>
      <c r="W4" s="16">
        <f>SUM(W8:W189)</f>
        <v>446933.33333333279</v>
      </c>
      <c r="X4" s="16">
        <f>SUM(X8:X189)</f>
        <v>1784.241666666667</v>
      </c>
      <c r="AA4" s="16">
        <f>SUM(AA8:AA189)</f>
        <v>8921.2083333333358</v>
      </c>
    </row>
    <row r="5" spans="1:27" x14ac:dyDescent="0.25">
      <c r="I5" s="1"/>
      <c r="J5" s="1"/>
      <c r="K5" s="1" t="s">
        <v>24</v>
      </c>
      <c r="L5" s="27"/>
      <c r="M5" s="27"/>
      <c r="O5" s="1"/>
      <c r="P5" s="1"/>
      <c r="Q5" s="1"/>
      <c r="R5" s="27"/>
      <c r="S5" s="1"/>
      <c r="W5" s="3"/>
      <c r="X5" s="3"/>
    </row>
    <row r="6" spans="1:27" ht="15" customHeight="1" x14ac:dyDescent="0.25">
      <c r="G6" s="172" t="s">
        <v>13</v>
      </c>
      <c r="H6" s="20"/>
      <c r="I6" s="167" t="s">
        <v>15</v>
      </c>
      <c r="J6" s="167"/>
      <c r="K6" s="167" t="s">
        <v>23</v>
      </c>
      <c r="L6" s="168" t="s">
        <v>31</v>
      </c>
      <c r="M6" s="168" t="s">
        <v>142</v>
      </c>
      <c r="N6" s="167" t="s">
        <v>54</v>
      </c>
      <c r="O6" s="167" t="s">
        <v>4</v>
      </c>
      <c r="P6" s="167" t="s">
        <v>49</v>
      </c>
      <c r="Q6" s="167" t="s">
        <v>48</v>
      </c>
      <c r="R6" s="168" t="s">
        <v>50</v>
      </c>
      <c r="S6" s="167" t="s">
        <v>34</v>
      </c>
      <c r="T6" s="174" t="s">
        <v>64</v>
      </c>
      <c r="U6" s="173" t="s">
        <v>139</v>
      </c>
      <c r="V6" s="170" t="s">
        <v>33</v>
      </c>
      <c r="W6" s="170" t="s">
        <v>30</v>
      </c>
      <c r="X6" s="170" t="s">
        <v>141</v>
      </c>
      <c r="Y6" s="174" t="s">
        <v>52</v>
      </c>
      <c r="Z6" s="173" t="s">
        <v>140</v>
      </c>
      <c r="AA6" s="3"/>
    </row>
    <row r="7" spans="1:27" ht="21" customHeight="1" x14ac:dyDescent="0.25">
      <c r="D7" s="3"/>
      <c r="G7" s="172"/>
      <c r="H7" s="20"/>
      <c r="I7" s="15" t="s">
        <v>14</v>
      </c>
      <c r="J7" s="15" t="s">
        <v>3</v>
      </c>
      <c r="K7" s="167"/>
      <c r="L7" s="168"/>
      <c r="M7" s="168"/>
      <c r="N7" s="167"/>
      <c r="O7" s="167"/>
      <c r="P7" s="167"/>
      <c r="Q7" s="167"/>
      <c r="R7" s="168"/>
      <c r="S7" s="167"/>
      <c r="T7" s="174"/>
      <c r="U7" s="173"/>
      <c r="V7" s="170"/>
      <c r="W7" s="170"/>
      <c r="X7" s="170"/>
      <c r="Y7" s="174"/>
      <c r="Z7" s="173"/>
      <c r="AA7" s="3" t="s">
        <v>130</v>
      </c>
    </row>
    <row r="8" spans="1:27" ht="18.75" customHeight="1" x14ac:dyDescent="0.25">
      <c r="D8" s="3"/>
      <c r="I8" s="16"/>
      <c r="J8" s="16"/>
      <c r="K8" s="16"/>
      <c r="L8" s="26"/>
      <c r="M8" s="26"/>
      <c r="P8" s="16"/>
      <c r="Q8" s="16"/>
      <c r="R8" s="26"/>
      <c r="S8" s="16"/>
      <c r="V8" s="3"/>
    </row>
    <row r="9" spans="1:27" x14ac:dyDescent="0.25">
      <c r="D9" s="3"/>
      <c r="G9">
        <v>0</v>
      </c>
      <c r="H9" s="21">
        <v>43831</v>
      </c>
      <c r="I9" s="16"/>
      <c r="J9" s="16"/>
      <c r="K9" s="16"/>
      <c r="L9" s="26">
        <f>-D11+D19</f>
        <v>-2933000</v>
      </c>
      <c r="M9" s="26">
        <f>L9</f>
        <v>-2933000</v>
      </c>
      <c r="N9" s="16">
        <f>D11-D19</f>
        <v>2933000</v>
      </c>
      <c r="O9" s="16">
        <f>IF(D37="да",D12,0)</f>
        <v>698333.33333333337</v>
      </c>
      <c r="Q9" s="17">
        <f>$D$13</f>
        <v>3491666.6666666665</v>
      </c>
      <c r="R9" s="26">
        <f>L9+O9</f>
        <v>-2234666.6666666665</v>
      </c>
      <c r="S9" s="16"/>
      <c r="T9" s="28">
        <f>L9</f>
        <v>-2933000</v>
      </c>
      <c r="U9" s="28">
        <f>T9</f>
        <v>-2933000</v>
      </c>
      <c r="V9" s="3"/>
      <c r="Y9" s="28">
        <f>T9</f>
        <v>-2933000</v>
      </c>
      <c r="Z9" s="28">
        <f>Y9</f>
        <v>-2933000</v>
      </c>
    </row>
    <row r="10" spans="1:27" x14ac:dyDescent="0.25">
      <c r="D10" s="3"/>
      <c r="G10">
        <v>1</v>
      </c>
      <c r="H10" s="21">
        <v>43862</v>
      </c>
      <c r="I10" s="16">
        <f t="shared" ref="I10:I41" si="0">IF(G10&lt;=$D$14,$N$9/$D$14*1/(1+$D$20),0)</f>
        <v>33946.759259259263</v>
      </c>
      <c r="J10" s="16">
        <f>IF(G10&lt;=$D$14,I10*$D$20,0)</f>
        <v>6789.3518518518531</v>
      </c>
      <c r="K10" s="16">
        <f>IF(G10&lt;=$D$14,N9*$D$17,0)</f>
        <v>285368679.16666669</v>
      </c>
      <c r="L10" s="26">
        <f>IF(G10&lt;=$D$14,SUM(I10:K10),0)</f>
        <v>285409415.27777779</v>
      </c>
      <c r="M10" s="26">
        <f>L10+AA10</f>
        <v>285409659.69444448</v>
      </c>
      <c r="N10" s="16">
        <f>IF(G10&lt;=$D$14,N9-I10-J10,0)</f>
        <v>2892263.888888889</v>
      </c>
      <c r="O10" s="16"/>
      <c r="P10" s="16">
        <f>IF(G10&lt;=$D$14,Q9*$D$17,0)</f>
        <v>339724618.05555552</v>
      </c>
      <c r="Q10" s="16">
        <f>-R9-I10</f>
        <v>2200719.9074074072</v>
      </c>
      <c r="R10" s="26">
        <f t="shared" ref="R10:R41" si="1">IF(G10&lt;=$D$14,I10+P10,0)</f>
        <v>339758564.81481481</v>
      </c>
      <c r="S10" s="16">
        <f t="shared" ref="S10:S41" si="2">IF(G10&lt;=$D$14,IF($D$37="льготное",K10,N9*($D$24+3%)/12),0)</f>
        <v>7352.8680555555557</v>
      </c>
      <c r="T10" s="26">
        <f>L10-O9</f>
        <v>284711081.94444448</v>
      </c>
      <c r="U10" s="26">
        <f>M10-O9</f>
        <v>284711326.36111116</v>
      </c>
      <c r="V10" s="3">
        <f>IF($D$38="да",K10*$D$23,0)</f>
        <v>57073735.833333343</v>
      </c>
      <c r="W10" s="16">
        <f>IF($D$38="да",IF(G10&lt;=$D$21,(-$R$9)/$D$21*$D$23,0),0)</f>
        <v>7448.8888888888896</v>
      </c>
      <c r="X10" s="16">
        <f>IF($D$38="да",IF(G10&lt;=$D$14,AA10*$D$23,0),0)</f>
        <v>48.883333333333333</v>
      </c>
      <c r="Y10" s="26">
        <f>T10-V10-W10</f>
        <v>227629897.22222224</v>
      </c>
      <c r="Z10" s="26">
        <f>U10-W10-X10-V10</f>
        <v>227630092.7555556</v>
      </c>
      <c r="AA10" s="1">
        <f>IF(G10&lt;=$D$14,N9*$D$24,0)</f>
        <v>244.41666666666666</v>
      </c>
    </row>
    <row r="11" spans="1:27" x14ac:dyDescent="0.25">
      <c r="A11" s="169" t="s">
        <v>0</v>
      </c>
      <c r="B11" s="169"/>
      <c r="C11" s="169"/>
      <c r="D11" s="4">
        <f>'Калькулятор лизинга'!K5</f>
        <v>4190000</v>
      </c>
      <c r="G11">
        <v>2</v>
      </c>
      <c r="H11" s="21">
        <v>43891</v>
      </c>
      <c r="I11" s="16">
        <f>IF(G11&lt;=$D$14,$N$9/$D$14*1/(1+$D$20),0)</f>
        <v>33946.759259259263</v>
      </c>
      <c r="J11" s="16">
        <f>IF(G11&lt;=$D$14,I11*$D$20,0)</f>
        <v>6789.3518518518531</v>
      </c>
      <c r="K11" s="16">
        <f>IF(G11&lt;=$D$14,N10*$D$17,0)</f>
        <v>281405225.28935188</v>
      </c>
      <c r="L11" s="26">
        <f t="shared" ref="L11:L74" si="3">IF(G11&lt;=$D$14,SUM(I11:K11),0)</f>
        <v>281445961.40046299</v>
      </c>
      <c r="M11" s="26">
        <f t="shared" ref="M11:M74" si="4">L11+AA11</f>
        <v>281446202.4224537</v>
      </c>
      <c r="N11" s="16">
        <f>IF(G11&lt;=$D$14,N10-I11-J11,0)</f>
        <v>2851527.777777778</v>
      </c>
      <c r="O11" s="16"/>
      <c r="P11" s="16">
        <f t="shared" ref="P11:P42" si="5">IF(G10&lt;=$D$14,Q10*$D$17,0)</f>
        <v>214120877.32445985</v>
      </c>
      <c r="Q11" s="16">
        <f t="shared" ref="Q11:Q42" si="6">IF(G10&lt;=$D$14,Q10-I11,0)</f>
        <v>2166773.1481481479</v>
      </c>
      <c r="R11" s="26">
        <f t="shared" si="1"/>
        <v>214154824.0837191</v>
      </c>
      <c r="S11" s="16">
        <f t="shared" si="2"/>
        <v>7250.744888117285</v>
      </c>
      <c r="T11" s="26">
        <f t="shared" ref="T11:T74" si="7">L11</f>
        <v>281445961.40046299</v>
      </c>
      <c r="U11" s="26">
        <f t="shared" ref="U11:U74" si="8">M11</f>
        <v>281446202.4224537</v>
      </c>
      <c r="V11" s="3">
        <f t="shared" ref="V11:V74" si="9">IF($D$38="да",K11*$D$23,0)</f>
        <v>56281045.057870381</v>
      </c>
      <c r="W11" s="16">
        <f t="shared" ref="W11:W74" si="10">IF($D$38="да",IF(G11&lt;=$D$21,(-$R$9)/$D$21*$D$23,0),0)</f>
        <v>7448.8888888888896</v>
      </c>
      <c r="X11" s="16">
        <f t="shared" ref="X11:X74" si="11">IF($D$38="да",IF(G11&lt;=$D$14,AA11*$D$23,0),0)</f>
        <v>48.204398148148151</v>
      </c>
      <c r="Y11" s="26">
        <f t="shared" ref="Y11:Y74" si="12">T11-V11-W11</f>
        <v>225157467.4537037</v>
      </c>
      <c r="Z11" s="26">
        <f t="shared" ref="Z11:Z74" si="13">U11-W11-X11-V11</f>
        <v>225157660.27129626</v>
      </c>
      <c r="AA11" s="1">
        <f t="shared" ref="AA11:AA74" si="14">IF(G11&lt;=$D$14,N10*$D$24,0)</f>
        <v>241.02199074074073</v>
      </c>
    </row>
    <row r="12" spans="1:27" x14ac:dyDescent="0.25">
      <c r="A12" s="165" t="s">
        <v>3</v>
      </c>
      <c r="B12" s="165"/>
      <c r="C12" s="165"/>
      <c r="D12" s="2">
        <f>D11*D20/(1+D20)</f>
        <v>698333.33333333337</v>
      </c>
      <c r="G12">
        <v>3</v>
      </c>
      <c r="H12" s="21">
        <v>43922</v>
      </c>
      <c r="I12" s="16">
        <f t="shared" si="0"/>
        <v>33946.759259259263</v>
      </c>
      <c r="J12" s="16">
        <f t="shared" ref="J12:J74" si="15">IF(G12&lt;=$D$14,I12*$D$20,0)</f>
        <v>6789.3518518518531</v>
      </c>
      <c r="K12" s="16">
        <f>IF(G12&lt;=$D$14,N11*$D$17,0)</f>
        <v>277441771.41203707</v>
      </c>
      <c r="L12" s="26">
        <f t="shared" si="3"/>
        <v>277482507.52314818</v>
      </c>
      <c r="M12" s="26">
        <f t="shared" si="4"/>
        <v>277482745.15046299</v>
      </c>
      <c r="N12" s="16">
        <f t="shared" ref="N12:N41" si="16">IF(G12&lt;=$D$14,N11-I12-J12,0)</f>
        <v>2810791.666666667</v>
      </c>
      <c r="O12" s="16"/>
      <c r="P12" s="16">
        <f t="shared" si="5"/>
        <v>210817999.09336418</v>
      </c>
      <c r="Q12" s="16">
        <f t="shared" si="6"/>
        <v>2132826.3888888885</v>
      </c>
      <c r="R12" s="26">
        <f t="shared" si="1"/>
        <v>210851945.85262343</v>
      </c>
      <c r="S12" s="16">
        <f t="shared" si="2"/>
        <v>7148.6217206790134</v>
      </c>
      <c r="T12" s="26">
        <f t="shared" si="7"/>
        <v>277482507.52314818</v>
      </c>
      <c r="U12" s="26">
        <f t="shared" si="8"/>
        <v>277482745.15046299</v>
      </c>
      <c r="V12" s="3">
        <f t="shared" si="9"/>
        <v>55488354.282407418</v>
      </c>
      <c r="W12" s="16">
        <f t="shared" si="10"/>
        <v>7448.8888888888896</v>
      </c>
      <c r="X12" s="16">
        <f t="shared" si="11"/>
        <v>47.525462962962969</v>
      </c>
      <c r="Y12" s="26">
        <f t="shared" si="12"/>
        <v>221986704.35185188</v>
      </c>
      <c r="Z12" s="26">
        <f t="shared" si="13"/>
        <v>221986894.4537037</v>
      </c>
      <c r="AA12" s="1">
        <f t="shared" si="14"/>
        <v>237.62731481481484</v>
      </c>
    </row>
    <row r="13" spans="1:27" x14ac:dyDescent="0.25">
      <c r="A13" s="165" t="s">
        <v>6</v>
      </c>
      <c r="B13" s="165"/>
      <c r="C13" s="165"/>
      <c r="D13" s="2">
        <f>D11-D12</f>
        <v>3491666.6666666665</v>
      </c>
      <c r="G13">
        <v>4</v>
      </c>
      <c r="H13" s="21">
        <v>43952</v>
      </c>
      <c r="I13" s="16">
        <f t="shared" si="0"/>
        <v>33946.759259259263</v>
      </c>
      <c r="J13" s="16">
        <f t="shared" si="15"/>
        <v>6789.3518518518531</v>
      </c>
      <c r="K13" s="16">
        <f t="shared" ref="K13:K41" si="17">IF(G13&lt;=$D$14,N12*$D$17,0)</f>
        <v>273478317.53472227</v>
      </c>
      <c r="L13" s="26">
        <f>IF(G13&lt;=$D$14,SUM(I13:K13),0)</f>
        <v>273519053.64583337</v>
      </c>
      <c r="M13" s="26">
        <f t="shared" si="4"/>
        <v>273519287.87847227</v>
      </c>
      <c r="N13" s="16">
        <f t="shared" si="16"/>
        <v>2770055.555555556</v>
      </c>
      <c r="O13" s="16"/>
      <c r="P13" s="16">
        <f t="shared" si="5"/>
        <v>207515120.86226848</v>
      </c>
      <c r="Q13" s="16">
        <f t="shared" si="6"/>
        <v>2098879.6296296292</v>
      </c>
      <c r="R13" s="26">
        <f t="shared" si="1"/>
        <v>207549067.62152773</v>
      </c>
      <c r="S13" s="16">
        <f t="shared" si="2"/>
        <v>7046.4985532407418</v>
      </c>
      <c r="T13" s="26">
        <f t="shared" si="7"/>
        <v>273519053.64583337</v>
      </c>
      <c r="U13" s="26">
        <f t="shared" si="8"/>
        <v>273519287.87847227</v>
      </c>
      <c r="V13" s="3">
        <f t="shared" si="9"/>
        <v>54695663.506944455</v>
      </c>
      <c r="W13" s="16">
        <f t="shared" si="10"/>
        <v>7448.8888888888896</v>
      </c>
      <c r="X13" s="16">
        <f t="shared" si="11"/>
        <v>46.846527777777787</v>
      </c>
      <c r="Y13" s="26">
        <f t="shared" si="12"/>
        <v>218815941.25000003</v>
      </c>
      <c r="Z13" s="26">
        <f t="shared" si="13"/>
        <v>218816128.63611117</v>
      </c>
      <c r="AA13" s="1">
        <f t="shared" si="14"/>
        <v>234.23263888888891</v>
      </c>
    </row>
    <row r="14" spans="1:27" x14ac:dyDescent="0.25">
      <c r="A14" s="169" t="s">
        <v>7</v>
      </c>
      <c r="B14" s="169"/>
      <c r="C14" s="169"/>
      <c r="D14" s="5">
        <f>'Калькулятор лизинга'!O16</f>
        <v>72</v>
      </c>
      <c r="G14">
        <v>5</v>
      </c>
      <c r="H14" s="21">
        <v>43983</v>
      </c>
      <c r="I14" s="16">
        <f t="shared" si="0"/>
        <v>33946.759259259263</v>
      </c>
      <c r="J14" s="16">
        <f t="shared" si="15"/>
        <v>6789.3518518518531</v>
      </c>
      <c r="K14" s="16">
        <f t="shared" si="17"/>
        <v>269514863.65740746</v>
      </c>
      <c r="L14" s="26">
        <f t="shared" si="3"/>
        <v>269555599.76851857</v>
      </c>
      <c r="M14" s="26">
        <f t="shared" si="4"/>
        <v>269555830.60648155</v>
      </c>
      <c r="N14" s="16">
        <f>IF(G14&lt;=$D$14,N13-I14-J14,0)</f>
        <v>2729319.444444445</v>
      </c>
      <c r="O14" s="16"/>
      <c r="P14" s="16">
        <f t="shared" si="5"/>
        <v>204212242.63117281</v>
      </c>
      <c r="Q14" s="16">
        <f t="shared" si="6"/>
        <v>2064932.8703703699</v>
      </c>
      <c r="R14" s="26">
        <f t="shared" si="1"/>
        <v>204246189.39043206</v>
      </c>
      <c r="S14" s="16">
        <f t="shared" si="2"/>
        <v>6944.3753858024711</v>
      </c>
      <c r="T14" s="26">
        <f t="shared" si="7"/>
        <v>269555599.76851857</v>
      </c>
      <c r="U14" s="26">
        <f t="shared" si="8"/>
        <v>269555830.60648155</v>
      </c>
      <c r="V14" s="3">
        <f t="shared" si="9"/>
        <v>53902972.731481493</v>
      </c>
      <c r="W14" s="16">
        <f t="shared" si="10"/>
        <v>7448.8888888888896</v>
      </c>
      <c r="X14" s="16">
        <f t="shared" si="11"/>
        <v>46.167592592592598</v>
      </c>
      <c r="Y14" s="26">
        <f t="shared" si="12"/>
        <v>215645178.14814818</v>
      </c>
      <c r="Z14" s="26">
        <f t="shared" si="13"/>
        <v>215645362.81851858</v>
      </c>
      <c r="AA14" s="1">
        <f t="shared" si="14"/>
        <v>230.83796296296299</v>
      </c>
    </row>
    <row r="15" spans="1:27" x14ac:dyDescent="0.25">
      <c r="A15" s="171" t="s">
        <v>8</v>
      </c>
      <c r="B15" s="171"/>
      <c r="C15" s="171"/>
      <c r="D15" s="29">
        <f>D14/12</f>
        <v>6</v>
      </c>
      <c r="G15">
        <v>6</v>
      </c>
      <c r="H15" s="21">
        <v>44013</v>
      </c>
      <c r="I15" s="16">
        <f t="shared" si="0"/>
        <v>33946.759259259263</v>
      </c>
      <c r="J15" s="16">
        <f t="shared" si="15"/>
        <v>6789.3518518518531</v>
      </c>
      <c r="K15" s="16">
        <f t="shared" si="17"/>
        <v>265551409.78009266</v>
      </c>
      <c r="L15" s="26">
        <f t="shared" si="3"/>
        <v>265592145.89120376</v>
      </c>
      <c r="M15" s="26">
        <f t="shared" si="4"/>
        <v>265592373.33449081</v>
      </c>
      <c r="N15" s="16">
        <f t="shared" si="16"/>
        <v>2688583.333333334</v>
      </c>
      <c r="O15" s="16"/>
      <c r="P15" s="16">
        <f t="shared" si="5"/>
        <v>200909364.4000771</v>
      </c>
      <c r="Q15" s="16">
        <f t="shared" si="6"/>
        <v>2030986.1111111105</v>
      </c>
      <c r="R15" s="26">
        <f t="shared" si="1"/>
        <v>200943311.15933636</v>
      </c>
      <c r="S15" s="16">
        <f t="shared" si="2"/>
        <v>6842.2522183641986</v>
      </c>
      <c r="T15" s="26">
        <f t="shared" si="7"/>
        <v>265592145.89120376</v>
      </c>
      <c r="U15" s="26">
        <f t="shared" si="8"/>
        <v>265592373.33449081</v>
      </c>
      <c r="V15" s="3">
        <f t="shared" si="9"/>
        <v>53110281.956018537</v>
      </c>
      <c r="W15" s="16">
        <f t="shared" si="10"/>
        <v>7448.8888888888896</v>
      </c>
      <c r="X15" s="16">
        <f t="shared" si="11"/>
        <v>45.488657407407416</v>
      </c>
      <c r="Y15" s="26">
        <f t="shared" si="12"/>
        <v>212474415.04629633</v>
      </c>
      <c r="Z15" s="26">
        <f t="shared" si="13"/>
        <v>212474597.00092596</v>
      </c>
      <c r="AA15" s="1">
        <f t="shared" si="14"/>
        <v>227.44328703703707</v>
      </c>
    </row>
    <row r="16" spans="1:27" x14ac:dyDescent="0.25">
      <c r="A16" s="169" t="s">
        <v>12</v>
      </c>
      <c r="B16" s="169"/>
      <c r="C16" s="169"/>
      <c r="D16" s="11">
        <f>'Калькулятор лизинга'!O21/100</f>
        <v>1167.55</v>
      </c>
      <c r="E16" s="9"/>
      <c r="F16" s="10"/>
      <c r="G16">
        <v>7</v>
      </c>
      <c r="H16" s="21">
        <v>44044</v>
      </c>
      <c r="I16" s="16">
        <f t="shared" si="0"/>
        <v>33946.759259259263</v>
      </c>
      <c r="J16" s="16">
        <f t="shared" si="15"/>
        <v>6789.3518518518531</v>
      </c>
      <c r="K16" s="16">
        <f t="shared" si="17"/>
        <v>261587955.90277785</v>
      </c>
      <c r="L16" s="26">
        <f t="shared" si="3"/>
        <v>261628692.01388896</v>
      </c>
      <c r="M16" s="26">
        <f t="shared" si="4"/>
        <v>261628916.06250006</v>
      </c>
      <c r="N16" s="16">
        <f t="shared" si="16"/>
        <v>2647847.2222222229</v>
      </c>
      <c r="O16" s="16"/>
      <c r="P16" s="16">
        <f t="shared" si="5"/>
        <v>197606486.16898143</v>
      </c>
      <c r="Q16" s="16">
        <f t="shared" si="6"/>
        <v>1997039.3518518512</v>
      </c>
      <c r="R16" s="26">
        <f t="shared" si="1"/>
        <v>197640432.92824069</v>
      </c>
      <c r="S16" s="16">
        <f t="shared" si="2"/>
        <v>6740.129050925927</v>
      </c>
      <c r="T16" s="26">
        <f t="shared" si="7"/>
        <v>261628692.01388896</v>
      </c>
      <c r="U16" s="26">
        <f t="shared" si="8"/>
        <v>261628916.06250006</v>
      </c>
      <c r="V16" s="3">
        <f t="shared" si="9"/>
        <v>52317591.180555575</v>
      </c>
      <c r="W16" s="16">
        <f t="shared" si="10"/>
        <v>7448.8888888888896</v>
      </c>
      <c r="X16" s="16">
        <f t="shared" si="11"/>
        <v>44.809722222222234</v>
      </c>
      <c r="Y16" s="26">
        <f t="shared" si="12"/>
        <v>209303651.94444448</v>
      </c>
      <c r="Z16" s="26">
        <f t="shared" si="13"/>
        <v>209303831.18333337</v>
      </c>
      <c r="AA16" s="1">
        <f t="shared" si="14"/>
        <v>224.04861111111114</v>
      </c>
    </row>
    <row r="17" spans="1:27" x14ac:dyDescent="0.25">
      <c r="A17" s="165" t="s">
        <v>11</v>
      </c>
      <c r="B17" s="165"/>
      <c r="C17" s="165"/>
      <c r="D17" s="10">
        <f>D16/12</f>
        <v>97.295833333333334</v>
      </c>
      <c r="E17" s="10"/>
      <c r="F17" s="10"/>
      <c r="G17">
        <v>8</v>
      </c>
      <c r="H17" s="21">
        <v>44075</v>
      </c>
      <c r="I17" s="16">
        <f t="shared" si="0"/>
        <v>33946.759259259263</v>
      </c>
      <c r="J17" s="16">
        <f t="shared" si="15"/>
        <v>6789.3518518518531</v>
      </c>
      <c r="K17" s="16">
        <f t="shared" si="17"/>
        <v>257624502.02546304</v>
      </c>
      <c r="L17" s="26">
        <f t="shared" si="3"/>
        <v>257665238.13657415</v>
      </c>
      <c r="M17" s="26">
        <f t="shared" si="4"/>
        <v>257665458.79050934</v>
      </c>
      <c r="N17" s="16">
        <f t="shared" si="16"/>
        <v>2607111.1111111119</v>
      </c>
      <c r="O17" s="16"/>
      <c r="P17" s="16">
        <f t="shared" si="5"/>
        <v>194303607.93788573</v>
      </c>
      <c r="Q17" s="16">
        <f t="shared" si="6"/>
        <v>1963092.5925925919</v>
      </c>
      <c r="R17" s="26">
        <f t="shared" si="1"/>
        <v>194337554.69714499</v>
      </c>
      <c r="S17" s="16">
        <f t="shared" si="2"/>
        <v>6638.0058834876554</v>
      </c>
      <c r="T17" s="26">
        <f t="shared" si="7"/>
        <v>257665238.13657415</v>
      </c>
      <c r="U17" s="26">
        <f t="shared" si="8"/>
        <v>257665458.79050934</v>
      </c>
      <c r="V17" s="3">
        <f t="shared" si="9"/>
        <v>51524900.405092612</v>
      </c>
      <c r="W17" s="16">
        <f t="shared" si="10"/>
        <v>7448.8888888888896</v>
      </c>
      <c r="X17" s="16">
        <f t="shared" si="11"/>
        <v>44.130787037037052</v>
      </c>
      <c r="Y17" s="26">
        <f t="shared" si="12"/>
        <v>206132888.84259266</v>
      </c>
      <c r="Z17" s="26">
        <f t="shared" si="13"/>
        <v>206133065.36574078</v>
      </c>
      <c r="AA17" s="1">
        <f t="shared" si="14"/>
        <v>220.65393518518525</v>
      </c>
    </row>
    <row r="18" spans="1:27" x14ac:dyDescent="0.25">
      <c r="A18" s="171" t="s">
        <v>68</v>
      </c>
      <c r="B18" s="171"/>
      <c r="C18" s="171"/>
      <c r="D18" s="37">
        <f>IF('Калькулятор лизинга'!M24=Лист2!N2,'Калькулятор лизинга'!O24/100,'Калькулятор лизинга'!O24/'Калькулятор лизинга'!K5)</f>
        <v>0.3</v>
      </c>
      <c r="G18">
        <v>9</v>
      </c>
      <c r="H18" s="21">
        <v>44105</v>
      </c>
      <c r="I18" s="16">
        <f t="shared" si="0"/>
        <v>33946.759259259263</v>
      </c>
      <c r="J18" s="16">
        <f t="shared" si="15"/>
        <v>6789.3518518518531</v>
      </c>
      <c r="K18" s="16">
        <f t="shared" si="17"/>
        <v>253661048.14814824</v>
      </c>
      <c r="L18" s="26">
        <f t="shared" si="3"/>
        <v>253701784.25925934</v>
      </c>
      <c r="M18" s="26">
        <f t="shared" si="4"/>
        <v>253702001.5185186</v>
      </c>
      <c r="N18" s="16">
        <f t="shared" si="16"/>
        <v>2566375.0000000009</v>
      </c>
      <c r="O18" s="16"/>
      <c r="P18" s="16">
        <f t="shared" si="5"/>
        <v>191000729.70679006</v>
      </c>
      <c r="Q18" s="16">
        <f t="shared" si="6"/>
        <v>1929145.8333333326</v>
      </c>
      <c r="R18" s="26">
        <f t="shared" si="1"/>
        <v>191034676.46604931</v>
      </c>
      <c r="S18" s="16">
        <f t="shared" si="2"/>
        <v>6535.8827160493847</v>
      </c>
      <c r="T18" s="26">
        <f t="shared" si="7"/>
        <v>253701784.25925934</v>
      </c>
      <c r="U18" s="26">
        <f t="shared" si="8"/>
        <v>253702001.5185186</v>
      </c>
      <c r="V18" s="3">
        <f t="shared" si="9"/>
        <v>50732209.629629649</v>
      </c>
      <c r="W18" s="16">
        <f t="shared" si="10"/>
        <v>7448.8888888888896</v>
      </c>
      <c r="X18" s="16">
        <f t="shared" si="11"/>
        <v>43.45185185185187</v>
      </c>
      <c r="Y18" s="26">
        <f t="shared" si="12"/>
        <v>202962125.74074081</v>
      </c>
      <c r="Z18" s="26">
        <f t="shared" si="13"/>
        <v>202962299.54814821</v>
      </c>
      <c r="AA18" s="1">
        <f t="shared" si="14"/>
        <v>217.25925925925932</v>
      </c>
    </row>
    <row r="19" spans="1:27" x14ac:dyDescent="0.25">
      <c r="A19" s="165" t="s">
        <v>69</v>
      </c>
      <c r="B19" s="165"/>
      <c r="C19" s="165"/>
      <c r="D19" s="3">
        <f>IF('Калькулятор лизинга'!M24=Лист2!N3,'Калькулятор лизинга'!O24,'Калькулятор лизинга'!O24/100*'Калькулятор лизинга'!K5)</f>
        <v>1257000</v>
      </c>
      <c r="G19">
        <v>10</v>
      </c>
      <c r="H19" s="21">
        <v>44136</v>
      </c>
      <c r="I19" s="16">
        <f t="shared" si="0"/>
        <v>33946.759259259263</v>
      </c>
      <c r="J19" s="16">
        <f t="shared" si="15"/>
        <v>6789.3518518518531</v>
      </c>
      <c r="K19" s="16">
        <f t="shared" si="17"/>
        <v>249697594.27083343</v>
      </c>
      <c r="L19" s="26">
        <f t="shared" si="3"/>
        <v>249738330.38194454</v>
      </c>
      <c r="M19" s="26">
        <f t="shared" si="4"/>
        <v>249738544.24652788</v>
      </c>
      <c r="N19" s="16">
        <f t="shared" si="16"/>
        <v>2525638.8888888899</v>
      </c>
      <c r="O19" s="16"/>
      <c r="P19" s="16">
        <f t="shared" si="5"/>
        <v>187697851.47569436</v>
      </c>
      <c r="Q19" s="16">
        <f t="shared" si="6"/>
        <v>1895199.0740740732</v>
      </c>
      <c r="R19" s="26">
        <f t="shared" si="1"/>
        <v>187731798.23495361</v>
      </c>
      <c r="S19" s="16">
        <f t="shared" si="2"/>
        <v>6433.7595486111131</v>
      </c>
      <c r="T19" s="26">
        <f t="shared" si="7"/>
        <v>249738330.38194454</v>
      </c>
      <c r="U19" s="26">
        <f t="shared" si="8"/>
        <v>249738544.24652788</v>
      </c>
      <c r="V19" s="3">
        <f t="shared" si="9"/>
        <v>49939518.854166687</v>
      </c>
      <c r="W19" s="16">
        <f t="shared" si="10"/>
        <v>7448.8888888888896</v>
      </c>
      <c r="X19" s="16">
        <f t="shared" si="11"/>
        <v>42.772916666666681</v>
      </c>
      <c r="Y19" s="26">
        <f t="shared" si="12"/>
        <v>199791362.63888896</v>
      </c>
      <c r="Z19" s="26">
        <f t="shared" si="13"/>
        <v>199791533.73055562</v>
      </c>
      <c r="AA19" s="1">
        <f t="shared" si="14"/>
        <v>213.8645833333334</v>
      </c>
    </row>
    <row r="20" spans="1:27" x14ac:dyDescent="0.25">
      <c r="A20" s="165" t="s">
        <v>18</v>
      </c>
      <c r="B20" s="165"/>
      <c r="C20" s="165"/>
      <c r="D20" s="36">
        <f>'Калькулятор лизинга'!K11/100</f>
        <v>0.2</v>
      </c>
      <c r="G20">
        <v>11</v>
      </c>
      <c r="H20" s="21">
        <v>44166</v>
      </c>
      <c r="I20" s="16">
        <f t="shared" si="0"/>
        <v>33946.759259259263</v>
      </c>
      <c r="J20" s="16">
        <f t="shared" si="15"/>
        <v>6789.3518518518531</v>
      </c>
      <c r="K20" s="16">
        <f t="shared" si="17"/>
        <v>245734140.39351863</v>
      </c>
      <c r="L20" s="26">
        <f t="shared" si="3"/>
        <v>245774876.50462973</v>
      </c>
      <c r="M20" s="26">
        <f t="shared" si="4"/>
        <v>245775086.97453713</v>
      </c>
      <c r="N20" s="16">
        <f t="shared" si="16"/>
        <v>2484902.7777777789</v>
      </c>
      <c r="O20" s="16"/>
      <c r="P20" s="16">
        <f t="shared" si="5"/>
        <v>184394973.24459869</v>
      </c>
      <c r="Q20" s="16">
        <f t="shared" si="6"/>
        <v>1861252.3148148139</v>
      </c>
      <c r="R20" s="26">
        <f t="shared" si="1"/>
        <v>184428920.00385794</v>
      </c>
      <c r="S20" s="16">
        <f t="shared" si="2"/>
        <v>6331.6363811728415</v>
      </c>
      <c r="T20" s="26">
        <f t="shared" si="7"/>
        <v>245774876.50462973</v>
      </c>
      <c r="U20" s="26">
        <f t="shared" si="8"/>
        <v>245775086.97453713</v>
      </c>
      <c r="V20" s="3">
        <f t="shared" si="9"/>
        <v>49146828.078703731</v>
      </c>
      <c r="W20" s="16">
        <f t="shared" si="10"/>
        <v>7448.8888888888896</v>
      </c>
      <c r="X20" s="16">
        <f t="shared" si="11"/>
        <v>42.093981481481499</v>
      </c>
      <c r="Y20" s="26">
        <f t="shared" si="12"/>
        <v>196620599.5370371</v>
      </c>
      <c r="Z20" s="26">
        <f t="shared" si="13"/>
        <v>196620767.91296303</v>
      </c>
      <c r="AA20" s="1">
        <f t="shared" si="14"/>
        <v>210.46990740740748</v>
      </c>
    </row>
    <row r="21" spans="1:27" x14ac:dyDescent="0.25">
      <c r="A21" s="169" t="s">
        <v>2</v>
      </c>
      <c r="B21" s="169"/>
      <c r="C21" s="169"/>
      <c r="D21" s="5">
        <f>'Калькулятор лизинга'!O27</f>
        <v>60</v>
      </c>
      <c r="G21">
        <v>12</v>
      </c>
      <c r="H21" s="21">
        <v>44197</v>
      </c>
      <c r="I21" s="16">
        <f t="shared" si="0"/>
        <v>33946.759259259263</v>
      </c>
      <c r="J21" s="16">
        <f t="shared" si="15"/>
        <v>6789.3518518518531</v>
      </c>
      <c r="K21" s="16">
        <f t="shared" si="17"/>
        <v>241770686.51620382</v>
      </c>
      <c r="L21" s="26">
        <f t="shared" si="3"/>
        <v>241811422.62731493</v>
      </c>
      <c r="M21" s="26">
        <f t="shared" si="4"/>
        <v>241811629.70254642</v>
      </c>
      <c r="N21" s="16">
        <f t="shared" si="16"/>
        <v>2444166.6666666679</v>
      </c>
      <c r="O21" s="16"/>
      <c r="P21" s="16">
        <f t="shared" si="5"/>
        <v>181092095.01350299</v>
      </c>
      <c r="Q21" s="16">
        <f t="shared" si="6"/>
        <v>1827305.5555555546</v>
      </c>
      <c r="R21" s="26">
        <f t="shared" si="1"/>
        <v>181126041.77276224</v>
      </c>
      <c r="S21" s="16">
        <f t="shared" si="2"/>
        <v>6229.5132137345709</v>
      </c>
      <c r="T21" s="26">
        <f t="shared" si="7"/>
        <v>241811422.62731493</v>
      </c>
      <c r="U21" s="26">
        <f t="shared" si="8"/>
        <v>241811629.70254642</v>
      </c>
      <c r="V21" s="3">
        <f t="shared" si="9"/>
        <v>48354137.303240769</v>
      </c>
      <c r="W21" s="16">
        <f t="shared" si="10"/>
        <v>7448.8888888888896</v>
      </c>
      <c r="X21" s="16">
        <f t="shared" si="11"/>
        <v>41.415046296296318</v>
      </c>
      <c r="Y21" s="26">
        <f t="shared" si="12"/>
        <v>193449836.43518525</v>
      </c>
      <c r="Z21" s="26">
        <f t="shared" si="13"/>
        <v>193450002.09537044</v>
      </c>
      <c r="AA21" s="1">
        <f t="shared" si="14"/>
        <v>207.07523148148158</v>
      </c>
    </row>
    <row r="22" spans="1:27" x14ac:dyDescent="0.25">
      <c r="A22" s="171" t="s">
        <v>19</v>
      </c>
      <c r="B22" s="171"/>
      <c r="C22" s="171"/>
      <c r="D22" s="29">
        <f>D21/12</f>
        <v>5</v>
      </c>
      <c r="G22">
        <v>13</v>
      </c>
      <c r="H22" s="21">
        <v>44228</v>
      </c>
      <c r="I22" s="16">
        <f t="shared" si="0"/>
        <v>33946.759259259263</v>
      </c>
      <c r="J22" s="16">
        <f t="shared" si="15"/>
        <v>6789.3518518518531</v>
      </c>
      <c r="K22" s="16">
        <f t="shared" si="17"/>
        <v>237807232.63888901</v>
      </c>
      <c r="L22" s="26">
        <f t="shared" si="3"/>
        <v>237847968.75000012</v>
      </c>
      <c r="M22" s="26">
        <f t="shared" si="4"/>
        <v>237848172.43055567</v>
      </c>
      <c r="N22" s="16">
        <f t="shared" si="16"/>
        <v>2403430.5555555569</v>
      </c>
      <c r="O22" s="16"/>
      <c r="P22" s="16">
        <f t="shared" si="5"/>
        <v>177789216.78240731</v>
      </c>
      <c r="Q22" s="16">
        <f t="shared" si="6"/>
        <v>1793358.7962962952</v>
      </c>
      <c r="R22" s="26">
        <f t="shared" si="1"/>
        <v>177823163.54166657</v>
      </c>
      <c r="S22" s="16">
        <f t="shared" si="2"/>
        <v>6127.3900462962993</v>
      </c>
      <c r="T22" s="26">
        <f t="shared" si="7"/>
        <v>237847968.75000012</v>
      </c>
      <c r="U22" s="26">
        <f t="shared" si="8"/>
        <v>237848172.43055567</v>
      </c>
      <c r="V22" s="3">
        <f t="shared" si="9"/>
        <v>47561446.527777806</v>
      </c>
      <c r="W22" s="16">
        <f t="shared" si="10"/>
        <v>7448.8888888888896</v>
      </c>
      <c r="X22" s="16">
        <f t="shared" si="11"/>
        <v>40.736111111111136</v>
      </c>
      <c r="Y22" s="26">
        <f t="shared" si="12"/>
        <v>190279073.33333343</v>
      </c>
      <c r="Z22" s="26">
        <f t="shared" si="13"/>
        <v>190279236.27777785</v>
      </c>
      <c r="AA22" s="1">
        <f t="shared" si="14"/>
        <v>203.68055555555566</v>
      </c>
    </row>
    <row r="23" spans="1:27" x14ac:dyDescent="0.25">
      <c r="A23" s="165" t="s">
        <v>28</v>
      </c>
      <c r="B23" s="165"/>
      <c r="C23" s="165"/>
      <c r="D23" s="18">
        <f>'Калькулятор лизинга'!K9/100</f>
        <v>0.2</v>
      </c>
      <c r="G23">
        <v>14</v>
      </c>
      <c r="H23" s="21">
        <v>44256</v>
      </c>
      <c r="I23" s="16">
        <f t="shared" si="0"/>
        <v>33946.759259259263</v>
      </c>
      <c r="J23" s="16">
        <f t="shared" si="15"/>
        <v>6789.3518518518531</v>
      </c>
      <c r="K23" s="16">
        <f t="shared" si="17"/>
        <v>233843778.76157421</v>
      </c>
      <c r="L23" s="26">
        <f t="shared" si="3"/>
        <v>233884514.87268531</v>
      </c>
      <c r="M23" s="26">
        <f t="shared" si="4"/>
        <v>233884715.15856495</v>
      </c>
      <c r="N23" s="16">
        <f t="shared" si="16"/>
        <v>2362694.4444444459</v>
      </c>
      <c r="O23" s="16"/>
      <c r="P23" s="16">
        <f t="shared" si="5"/>
        <v>174486338.55131164</v>
      </c>
      <c r="Q23" s="16">
        <f t="shared" si="6"/>
        <v>1759412.0370370359</v>
      </c>
      <c r="R23" s="26">
        <f t="shared" si="1"/>
        <v>174520285.3105709</v>
      </c>
      <c r="S23" s="16">
        <f t="shared" si="2"/>
        <v>6025.2668788580277</v>
      </c>
      <c r="T23" s="26">
        <f t="shared" si="7"/>
        <v>233884514.87268531</v>
      </c>
      <c r="U23" s="26">
        <f t="shared" si="8"/>
        <v>233884715.15856495</v>
      </c>
      <c r="V23" s="3">
        <f t="shared" si="9"/>
        <v>46768755.752314843</v>
      </c>
      <c r="W23" s="16">
        <f t="shared" si="10"/>
        <v>7448.8888888888896</v>
      </c>
      <c r="X23" s="16">
        <f t="shared" si="11"/>
        <v>40.057175925925947</v>
      </c>
      <c r="Y23" s="26">
        <f t="shared" si="12"/>
        <v>187108310.23148158</v>
      </c>
      <c r="Z23" s="26">
        <f t="shared" si="13"/>
        <v>187108470.46018529</v>
      </c>
      <c r="AA23" s="1">
        <f t="shared" si="14"/>
        <v>200.28587962962973</v>
      </c>
    </row>
    <row r="24" spans="1:27" x14ac:dyDescent="0.25">
      <c r="A24" s="165" t="s">
        <v>130</v>
      </c>
      <c r="B24" s="165"/>
      <c r="C24" s="165"/>
      <c r="D24" s="19">
        <f>'Калькулятор лизинга'!O30/100/12</f>
        <v>8.3333333333333331E-5</v>
      </c>
      <c r="G24">
        <v>15</v>
      </c>
      <c r="H24" s="21">
        <v>44287</v>
      </c>
      <c r="I24" s="16">
        <f t="shared" si="0"/>
        <v>33946.759259259263</v>
      </c>
      <c r="J24" s="16">
        <f t="shared" si="15"/>
        <v>6789.3518518518531</v>
      </c>
      <c r="K24" s="16">
        <f t="shared" si="17"/>
        <v>229880324.8842594</v>
      </c>
      <c r="L24" s="26">
        <f t="shared" si="3"/>
        <v>229921060.99537051</v>
      </c>
      <c r="M24" s="26">
        <f t="shared" si="4"/>
        <v>229921257.88657421</v>
      </c>
      <c r="N24" s="16">
        <f t="shared" si="16"/>
        <v>2321958.3333333349</v>
      </c>
      <c r="O24" s="16"/>
      <c r="P24" s="16">
        <f t="shared" si="5"/>
        <v>171183460.32021594</v>
      </c>
      <c r="Q24" s="16">
        <f t="shared" si="6"/>
        <v>1725465.2777777766</v>
      </c>
      <c r="R24" s="26">
        <f t="shared" si="1"/>
        <v>171217407.07947519</v>
      </c>
      <c r="S24" s="16">
        <f t="shared" si="2"/>
        <v>5923.143711419757</v>
      </c>
      <c r="T24" s="26">
        <f t="shared" si="7"/>
        <v>229921060.99537051</v>
      </c>
      <c r="U24" s="26">
        <f t="shared" si="8"/>
        <v>229921257.88657421</v>
      </c>
      <c r="V24" s="3">
        <f t="shared" si="9"/>
        <v>45976064.976851881</v>
      </c>
      <c r="W24" s="16">
        <f t="shared" si="10"/>
        <v>7448.8888888888896</v>
      </c>
      <c r="X24" s="16">
        <f t="shared" si="11"/>
        <v>39.378240740740765</v>
      </c>
      <c r="Y24" s="26">
        <f t="shared" si="12"/>
        <v>183937547.12962973</v>
      </c>
      <c r="Z24" s="26">
        <f t="shared" si="13"/>
        <v>183937704.6425927</v>
      </c>
      <c r="AA24" s="1">
        <f t="shared" si="14"/>
        <v>196.89120370370381</v>
      </c>
    </row>
    <row r="25" spans="1:27" x14ac:dyDescent="0.25">
      <c r="G25">
        <v>16</v>
      </c>
      <c r="H25" s="21">
        <v>44317</v>
      </c>
      <c r="I25" s="16">
        <f t="shared" si="0"/>
        <v>33946.759259259263</v>
      </c>
      <c r="J25" s="16">
        <f t="shared" si="15"/>
        <v>6789.3518518518531</v>
      </c>
      <c r="K25" s="16">
        <f t="shared" si="17"/>
        <v>225916871.0069446</v>
      </c>
      <c r="L25" s="26">
        <f t="shared" si="3"/>
        <v>225957607.1180557</v>
      </c>
      <c r="M25" s="26">
        <f t="shared" si="4"/>
        <v>225957800.61458349</v>
      </c>
      <c r="N25" s="16">
        <f t="shared" si="16"/>
        <v>2281222.2222222239</v>
      </c>
      <c r="O25" s="16"/>
      <c r="P25" s="16">
        <f t="shared" si="5"/>
        <v>167880582.08912027</v>
      </c>
      <c r="Q25" s="16">
        <f t="shared" si="6"/>
        <v>1691518.5185185173</v>
      </c>
      <c r="R25" s="26">
        <f t="shared" si="1"/>
        <v>167914528.84837952</v>
      </c>
      <c r="S25" s="16">
        <f t="shared" si="2"/>
        <v>5821.0205439814854</v>
      </c>
      <c r="T25" s="26">
        <f t="shared" si="7"/>
        <v>225957607.1180557</v>
      </c>
      <c r="U25" s="26">
        <f t="shared" si="8"/>
        <v>225957800.61458349</v>
      </c>
      <c r="V25" s="3">
        <f t="shared" si="9"/>
        <v>45183374.201388925</v>
      </c>
      <c r="W25" s="16">
        <f t="shared" si="10"/>
        <v>7448.8888888888896</v>
      </c>
      <c r="X25" s="16">
        <f t="shared" si="11"/>
        <v>38.699305555555583</v>
      </c>
      <c r="Y25" s="26">
        <f t="shared" si="12"/>
        <v>180766784.02777788</v>
      </c>
      <c r="Z25" s="26">
        <f t="shared" si="13"/>
        <v>180766938.82500011</v>
      </c>
      <c r="AA25" s="1">
        <f t="shared" si="14"/>
        <v>193.49652777777791</v>
      </c>
    </row>
    <row r="26" spans="1:27" x14ac:dyDescent="0.25">
      <c r="A26" s="165"/>
      <c r="B26" s="165"/>
      <c r="C26" s="165"/>
      <c r="G26">
        <v>17</v>
      </c>
      <c r="H26" s="21">
        <v>44348</v>
      </c>
      <c r="I26" s="16">
        <f t="shared" si="0"/>
        <v>33946.759259259263</v>
      </c>
      <c r="J26" s="16">
        <f t="shared" si="15"/>
        <v>6789.3518518518531</v>
      </c>
      <c r="K26" s="16">
        <f t="shared" si="17"/>
        <v>221953417.12962979</v>
      </c>
      <c r="L26" s="26">
        <f t="shared" si="3"/>
        <v>221994153.2407409</v>
      </c>
      <c r="M26" s="26">
        <f t="shared" si="4"/>
        <v>221994343.34259275</v>
      </c>
      <c r="N26" s="16">
        <f t="shared" si="16"/>
        <v>2240486.1111111129</v>
      </c>
      <c r="O26" s="16"/>
      <c r="P26" s="16">
        <f t="shared" si="5"/>
        <v>164577703.85802457</v>
      </c>
      <c r="Q26" s="16">
        <f t="shared" si="6"/>
        <v>1657571.7592592579</v>
      </c>
      <c r="R26" s="26">
        <f t="shared" si="1"/>
        <v>164611650.61728382</v>
      </c>
      <c r="S26" s="16">
        <f t="shared" si="2"/>
        <v>5718.8973765432138</v>
      </c>
      <c r="T26" s="26">
        <f t="shared" si="7"/>
        <v>221994153.2407409</v>
      </c>
      <c r="U26" s="26">
        <f t="shared" si="8"/>
        <v>221994343.34259275</v>
      </c>
      <c r="V26" s="3">
        <f t="shared" si="9"/>
        <v>44390683.425925963</v>
      </c>
      <c r="W26" s="16">
        <f t="shared" si="10"/>
        <v>7448.8888888888896</v>
      </c>
      <c r="X26" s="16">
        <f t="shared" si="11"/>
        <v>38.020370370370401</v>
      </c>
      <c r="Y26" s="26">
        <f t="shared" si="12"/>
        <v>177596020.92592603</v>
      </c>
      <c r="Z26" s="26">
        <f t="shared" si="13"/>
        <v>177596173.00740752</v>
      </c>
      <c r="AA26" s="1">
        <f t="shared" si="14"/>
        <v>190.10185185185199</v>
      </c>
    </row>
    <row r="27" spans="1:27" x14ac:dyDescent="0.25">
      <c r="G27">
        <v>18</v>
      </c>
      <c r="H27" s="21">
        <v>44378</v>
      </c>
      <c r="I27" s="16">
        <f t="shared" si="0"/>
        <v>33946.759259259263</v>
      </c>
      <c r="J27" s="16">
        <f t="shared" si="15"/>
        <v>6789.3518518518531</v>
      </c>
      <c r="K27" s="16">
        <f t="shared" si="17"/>
        <v>217989963.25231498</v>
      </c>
      <c r="L27" s="26">
        <f t="shared" si="3"/>
        <v>218030699.36342609</v>
      </c>
      <c r="M27" s="26">
        <f t="shared" si="4"/>
        <v>218030886.07060203</v>
      </c>
      <c r="N27" s="16">
        <f t="shared" si="16"/>
        <v>2199750.0000000019</v>
      </c>
      <c r="O27" s="16"/>
      <c r="P27" s="16">
        <f t="shared" si="5"/>
        <v>161274825.6269289</v>
      </c>
      <c r="Q27" s="16">
        <f t="shared" si="6"/>
        <v>1623624.9999999986</v>
      </c>
      <c r="R27" s="26">
        <f t="shared" si="1"/>
        <v>161308772.38618815</v>
      </c>
      <c r="S27" s="16">
        <f t="shared" si="2"/>
        <v>5616.7742091049431</v>
      </c>
      <c r="T27" s="26">
        <f t="shared" si="7"/>
        <v>218030699.36342609</v>
      </c>
      <c r="U27" s="26">
        <f t="shared" si="8"/>
        <v>218030886.07060203</v>
      </c>
      <c r="V27" s="3">
        <f t="shared" si="9"/>
        <v>43597992.650463</v>
      </c>
      <c r="W27" s="16">
        <f t="shared" si="10"/>
        <v>7448.8888888888896</v>
      </c>
      <c r="X27" s="16">
        <f t="shared" si="11"/>
        <v>37.341435185185212</v>
      </c>
      <c r="Y27" s="26">
        <f t="shared" si="12"/>
        <v>174425257.82407421</v>
      </c>
      <c r="Z27" s="26">
        <f t="shared" si="13"/>
        <v>174425407.18981493</v>
      </c>
      <c r="AA27" s="1">
        <f t="shared" si="14"/>
        <v>186.70717592592607</v>
      </c>
    </row>
    <row r="28" spans="1:27" x14ac:dyDescent="0.25">
      <c r="A28" s="170" t="s">
        <v>27</v>
      </c>
      <c r="B28" s="170"/>
      <c r="C28" s="170"/>
      <c r="D28" s="17">
        <f>L4</f>
        <v>10420146789.583338</v>
      </c>
      <c r="G28">
        <v>19</v>
      </c>
      <c r="H28" s="21">
        <v>44409</v>
      </c>
      <c r="I28" s="16">
        <f t="shared" si="0"/>
        <v>33946.759259259263</v>
      </c>
      <c r="J28" s="16">
        <f t="shared" si="15"/>
        <v>6789.3518518518531</v>
      </c>
      <c r="K28" s="16">
        <f t="shared" si="17"/>
        <v>214026509.37500018</v>
      </c>
      <c r="L28" s="26">
        <f t="shared" si="3"/>
        <v>214067245.48611128</v>
      </c>
      <c r="M28" s="26">
        <f t="shared" si="4"/>
        <v>214067428.79861128</v>
      </c>
      <c r="N28" s="16">
        <f t="shared" si="16"/>
        <v>2159013.8888888909</v>
      </c>
      <c r="O28" s="16"/>
      <c r="P28" s="16">
        <f t="shared" si="5"/>
        <v>157971947.39583319</v>
      </c>
      <c r="Q28" s="16">
        <f t="shared" si="6"/>
        <v>1589678.2407407393</v>
      </c>
      <c r="R28" s="26">
        <f t="shared" si="1"/>
        <v>158005894.15509245</v>
      </c>
      <c r="S28" s="16">
        <f t="shared" si="2"/>
        <v>5514.6510416666715</v>
      </c>
      <c r="T28" s="26">
        <f t="shared" si="7"/>
        <v>214067245.48611128</v>
      </c>
      <c r="U28" s="26">
        <f t="shared" si="8"/>
        <v>214067428.79861128</v>
      </c>
      <c r="V28" s="3">
        <f t="shared" si="9"/>
        <v>42805301.875000037</v>
      </c>
      <c r="W28" s="16">
        <f t="shared" si="10"/>
        <v>7448.8888888888896</v>
      </c>
      <c r="X28" s="16">
        <f t="shared" si="11"/>
        <v>36.66250000000003</v>
      </c>
      <c r="Y28" s="26">
        <f t="shared" si="12"/>
        <v>171254494.72222236</v>
      </c>
      <c r="Z28" s="26">
        <f t="shared" si="13"/>
        <v>171254641.37222236</v>
      </c>
      <c r="AA28" s="1">
        <f t="shared" si="14"/>
        <v>183.31250000000014</v>
      </c>
    </row>
    <row r="29" spans="1:27" x14ac:dyDescent="0.25">
      <c r="A29" s="165" t="s">
        <v>32</v>
      </c>
      <c r="B29" s="165"/>
      <c r="C29" s="165"/>
      <c r="D29" s="13">
        <f>PMT($D$17,$D$14,$N$9)</f>
        <v>-285368679.16666669</v>
      </c>
      <c r="G29">
        <v>20</v>
      </c>
      <c r="H29" s="21">
        <v>44440</v>
      </c>
      <c r="I29" s="16">
        <f t="shared" si="0"/>
        <v>33946.759259259263</v>
      </c>
      <c r="J29" s="16">
        <f t="shared" si="15"/>
        <v>6789.3518518518531</v>
      </c>
      <c r="K29" s="16">
        <f t="shared" si="17"/>
        <v>210063055.49768537</v>
      </c>
      <c r="L29" s="26">
        <f t="shared" si="3"/>
        <v>210103791.60879648</v>
      </c>
      <c r="M29" s="26">
        <f t="shared" si="4"/>
        <v>210103971.52662054</v>
      </c>
      <c r="N29" s="16">
        <f t="shared" si="16"/>
        <v>2118277.7777777798</v>
      </c>
      <c r="O29" s="16"/>
      <c r="P29" s="16">
        <f t="shared" si="5"/>
        <v>154669069.16473752</v>
      </c>
      <c r="Q29" s="16">
        <f t="shared" si="6"/>
        <v>1555731.4814814799</v>
      </c>
      <c r="R29" s="26">
        <f t="shared" si="1"/>
        <v>154703015.92399678</v>
      </c>
      <c r="S29" s="16">
        <f t="shared" si="2"/>
        <v>5412.5278742283999</v>
      </c>
      <c r="T29" s="26">
        <f t="shared" si="7"/>
        <v>210103791.60879648</v>
      </c>
      <c r="U29" s="26">
        <f t="shared" si="8"/>
        <v>210103971.52662054</v>
      </c>
      <c r="V29" s="3">
        <f t="shared" si="9"/>
        <v>42012611.099537075</v>
      </c>
      <c r="W29" s="16">
        <f t="shared" si="10"/>
        <v>7448.8888888888896</v>
      </c>
      <c r="X29" s="16">
        <f t="shared" si="11"/>
        <v>35.983564814814848</v>
      </c>
      <c r="Y29" s="26">
        <f t="shared" si="12"/>
        <v>168083731.62037051</v>
      </c>
      <c r="Z29" s="26">
        <f t="shared" si="13"/>
        <v>168083875.55462974</v>
      </c>
      <c r="AA29" s="1">
        <f t="shared" si="14"/>
        <v>179.91782407407422</v>
      </c>
    </row>
    <row r="30" spans="1:27" x14ac:dyDescent="0.25">
      <c r="D30" s="13"/>
      <c r="F30" s="13"/>
      <c r="G30">
        <v>21</v>
      </c>
      <c r="H30" s="21">
        <v>44470</v>
      </c>
      <c r="I30" s="16">
        <f t="shared" si="0"/>
        <v>33946.759259259263</v>
      </c>
      <c r="J30" s="16">
        <f t="shared" si="15"/>
        <v>6789.3518518518531</v>
      </c>
      <c r="K30" s="16">
        <f t="shared" si="17"/>
        <v>206099601.62037057</v>
      </c>
      <c r="L30" s="26">
        <f t="shared" si="3"/>
        <v>206140337.73148167</v>
      </c>
      <c r="M30" s="26">
        <f t="shared" si="4"/>
        <v>206140514.25462982</v>
      </c>
      <c r="N30" s="16">
        <f t="shared" si="16"/>
        <v>2077541.6666666686</v>
      </c>
      <c r="O30" s="16"/>
      <c r="P30" s="16">
        <f t="shared" si="5"/>
        <v>151366190.93364182</v>
      </c>
      <c r="Q30" s="16">
        <f t="shared" si="6"/>
        <v>1521784.7222222206</v>
      </c>
      <c r="R30" s="26">
        <f t="shared" si="1"/>
        <v>151400137.69290107</v>
      </c>
      <c r="S30" s="16">
        <f t="shared" si="2"/>
        <v>5310.4047067901292</v>
      </c>
      <c r="T30" s="26">
        <f t="shared" si="7"/>
        <v>206140337.73148167</v>
      </c>
      <c r="U30" s="26">
        <f t="shared" si="8"/>
        <v>206140514.25462982</v>
      </c>
      <c r="V30" s="3">
        <f t="shared" si="9"/>
        <v>41219920.324074119</v>
      </c>
      <c r="W30" s="16">
        <f t="shared" si="10"/>
        <v>7448.8888888888896</v>
      </c>
      <c r="X30" s="16">
        <f t="shared" si="11"/>
        <v>35.304629629629666</v>
      </c>
      <c r="Y30" s="26">
        <f t="shared" si="12"/>
        <v>164912968.51851866</v>
      </c>
      <c r="Z30" s="26">
        <f t="shared" si="13"/>
        <v>164913109.73703718</v>
      </c>
      <c r="AA30" s="1">
        <f t="shared" si="14"/>
        <v>176.52314814814832</v>
      </c>
    </row>
    <row r="31" spans="1:27" x14ac:dyDescent="0.25">
      <c r="A31" s="166" t="s">
        <v>21</v>
      </c>
      <c r="B31" s="166"/>
      <c r="C31" s="166"/>
      <c r="D31" s="14">
        <f>(L4-D11)/D11</f>
        <v>2485.9085416666676</v>
      </c>
      <c r="E31">
        <v>33065</v>
      </c>
      <c r="G31">
        <v>22</v>
      </c>
      <c r="H31" s="21">
        <v>44501</v>
      </c>
      <c r="I31" s="16">
        <f t="shared" si="0"/>
        <v>33946.759259259263</v>
      </c>
      <c r="J31" s="16">
        <f t="shared" si="15"/>
        <v>6789.3518518518531</v>
      </c>
      <c r="K31" s="16">
        <f t="shared" si="17"/>
        <v>202136147.74305576</v>
      </c>
      <c r="L31" s="26">
        <f t="shared" si="3"/>
        <v>202176883.85416687</v>
      </c>
      <c r="M31" s="26">
        <f t="shared" si="4"/>
        <v>202177056.98263907</v>
      </c>
      <c r="N31" s="16">
        <f t="shared" si="16"/>
        <v>2036805.5555555574</v>
      </c>
      <c r="O31" s="16"/>
      <c r="P31" s="16">
        <f t="shared" si="5"/>
        <v>148063312.70254615</v>
      </c>
      <c r="Q31" s="16">
        <f t="shared" si="6"/>
        <v>1487837.9629629613</v>
      </c>
      <c r="R31" s="26">
        <f t="shared" si="1"/>
        <v>148097259.4618054</v>
      </c>
      <c r="S31" s="16">
        <f t="shared" si="2"/>
        <v>5208.2815393518567</v>
      </c>
      <c r="T31" s="26">
        <f t="shared" si="7"/>
        <v>202176883.85416687</v>
      </c>
      <c r="U31" s="26">
        <f t="shared" si="8"/>
        <v>202177056.98263907</v>
      </c>
      <c r="V31" s="3">
        <f t="shared" si="9"/>
        <v>40427229.548611157</v>
      </c>
      <c r="W31" s="16">
        <f t="shared" si="10"/>
        <v>7448.8888888888896</v>
      </c>
      <c r="X31" s="16">
        <f t="shared" si="11"/>
        <v>34.625694444444477</v>
      </c>
      <c r="Y31" s="26">
        <f t="shared" si="12"/>
        <v>161742205.41666681</v>
      </c>
      <c r="Z31" s="26">
        <f t="shared" si="13"/>
        <v>161742343.91944456</v>
      </c>
      <c r="AA31" s="1">
        <f t="shared" si="14"/>
        <v>173.12847222222237</v>
      </c>
    </row>
    <row r="32" spans="1:27" x14ac:dyDescent="0.25">
      <c r="A32" s="166" t="s">
        <v>22</v>
      </c>
      <c r="B32" s="166"/>
      <c r="C32" s="166"/>
      <c r="D32" s="14">
        <f>D31/D15</f>
        <v>414.31809027777791</v>
      </c>
      <c r="G32">
        <v>23</v>
      </c>
      <c r="H32" s="21">
        <v>44531</v>
      </c>
      <c r="I32" s="16">
        <f t="shared" si="0"/>
        <v>33946.759259259263</v>
      </c>
      <c r="J32" s="16">
        <f t="shared" si="15"/>
        <v>6789.3518518518531</v>
      </c>
      <c r="K32" s="16">
        <f t="shared" si="17"/>
        <v>198172693.86574093</v>
      </c>
      <c r="L32" s="26">
        <f t="shared" si="3"/>
        <v>198213429.97685203</v>
      </c>
      <c r="M32" s="26">
        <f t="shared" si="4"/>
        <v>198213599.71064833</v>
      </c>
      <c r="N32" s="16">
        <f t="shared" si="16"/>
        <v>1996069.4444444461</v>
      </c>
      <c r="O32" s="16"/>
      <c r="P32" s="16">
        <f t="shared" si="5"/>
        <v>144760434.47145045</v>
      </c>
      <c r="Q32" s="16">
        <f t="shared" si="6"/>
        <v>1453891.203703702</v>
      </c>
      <c r="R32" s="26">
        <f t="shared" si="1"/>
        <v>144794381.2307097</v>
      </c>
      <c r="S32" s="16">
        <f t="shared" si="2"/>
        <v>5106.1583719135842</v>
      </c>
      <c r="T32" s="26">
        <f t="shared" si="7"/>
        <v>198213429.97685203</v>
      </c>
      <c r="U32" s="26">
        <f t="shared" si="8"/>
        <v>198213599.71064833</v>
      </c>
      <c r="V32" s="3">
        <f t="shared" si="9"/>
        <v>39634538.773148187</v>
      </c>
      <c r="W32" s="16">
        <f t="shared" si="10"/>
        <v>7448.8888888888896</v>
      </c>
      <c r="X32" s="16">
        <f t="shared" si="11"/>
        <v>33.946759259259288</v>
      </c>
      <c r="Y32" s="26">
        <f t="shared" si="12"/>
        <v>158571442.31481495</v>
      </c>
      <c r="Z32" s="26">
        <f t="shared" si="13"/>
        <v>158571578.101852</v>
      </c>
      <c r="AA32" s="1">
        <f t="shared" si="14"/>
        <v>169.73379629629645</v>
      </c>
    </row>
    <row r="33" spans="1:27" x14ac:dyDescent="0.25">
      <c r="D33" s="10">
        <f>D32*1.45/(1-D18)</f>
        <v>858.23032986111139</v>
      </c>
      <c r="E33" s="3"/>
      <c r="G33">
        <v>24</v>
      </c>
      <c r="H33" s="21">
        <v>44562</v>
      </c>
      <c r="I33" s="16">
        <f t="shared" si="0"/>
        <v>33946.759259259263</v>
      </c>
      <c r="J33" s="16">
        <f t="shared" si="15"/>
        <v>6789.3518518518531</v>
      </c>
      <c r="K33" s="16">
        <f t="shared" si="17"/>
        <v>194209239.98842609</v>
      </c>
      <c r="L33" s="26">
        <f t="shared" si="3"/>
        <v>194249976.09953719</v>
      </c>
      <c r="M33" s="26">
        <f t="shared" si="4"/>
        <v>194250142.43865755</v>
      </c>
      <c r="N33" s="16">
        <f t="shared" si="16"/>
        <v>1955333.3333333349</v>
      </c>
      <c r="O33" s="16"/>
      <c r="P33" s="16">
        <f t="shared" si="5"/>
        <v>141457556.24035478</v>
      </c>
      <c r="Q33" s="16">
        <f t="shared" si="6"/>
        <v>1419944.4444444426</v>
      </c>
      <c r="R33" s="26">
        <f t="shared" si="1"/>
        <v>141491502.99961403</v>
      </c>
      <c r="S33" s="16">
        <f t="shared" si="2"/>
        <v>5004.0352044753126</v>
      </c>
      <c r="T33" s="26">
        <f t="shared" si="7"/>
        <v>194249976.09953719</v>
      </c>
      <c r="U33" s="26">
        <f t="shared" si="8"/>
        <v>194250142.43865755</v>
      </c>
      <c r="V33" s="3">
        <f t="shared" si="9"/>
        <v>38841847.997685216</v>
      </c>
      <c r="W33" s="16">
        <f t="shared" si="10"/>
        <v>7448.8888888888896</v>
      </c>
      <c r="X33" s="16">
        <f t="shared" si="11"/>
        <v>33.267824074074099</v>
      </c>
      <c r="Y33" s="26">
        <f t="shared" si="12"/>
        <v>155400679.21296307</v>
      </c>
      <c r="Z33" s="26">
        <f t="shared" si="13"/>
        <v>155400812.28425935</v>
      </c>
      <c r="AA33" s="1">
        <f t="shared" si="14"/>
        <v>166.33912037037049</v>
      </c>
    </row>
    <row r="34" spans="1:27" x14ac:dyDescent="0.25">
      <c r="D34" s="9"/>
      <c r="G34">
        <v>25</v>
      </c>
      <c r="H34" s="21">
        <v>44593</v>
      </c>
      <c r="I34" s="16">
        <f t="shared" si="0"/>
        <v>33946.759259259263</v>
      </c>
      <c r="J34" s="16">
        <f t="shared" si="15"/>
        <v>6789.3518518518531</v>
      </c>
      <c r="K34" s="16">
        <f t="shared" si="17"/>
        <v>190245786.11111125</v>
      </c>
      <c r="L34" s="26">
        <f t="shared" si="3"/>
        <v>190286522.22222236</v>
      </c>
      <c r="M34" s="26">
        <f t="shared" si="4"/>
        <v>190286685.16666681</v>
      </c>
      <c r="N34" s="16">
        <f t="shared" si="16"/>
        <v>1914597.2222222236</v>
      </c>
      <c r="O34" s="16"/>
      <c r="P34" s="16">
        <f t="shared" si="5"/>
        <v>138154678.00925907</v>
      </c>
      <c r="Q34" s="16">
        <f t="shared" si="6"/>
        <v>1385997.6851851833</v>
      </c>
      <c r="R34" s="26">
        <f t="shared" si="1"/>
        <v>138188624.76851833</v>
      </c>
      <c r="S34" s="16">
        <f t="shared" si="2"/>
        <v>4901.912037037041</v>
      </c>
      <c r="T34" s="26">
        <f t="shared" si="7"/>
        <v>190286522.22222236</v>
      </c>
      <c r="U34" s="26">
        <f t="shared" si="8"/>
        <v>190286685.16666681</v>
      </c>
      <c r="V34" s="3">
        <f t="shared" si="9"/>
        <v>38049157.222222254</v>
      </c>
      <c r="W34" s="16">
        <f t="shared" si="10"/>
        <v>7448.8888888888896</v>
      </c>
      <c r="X34" s="16">
        <f t="shared" si="11"/>
        <v>32.588888888888917</v>
      </c>
      <c r="Y34" s="26">
        <f t="shared" si="12"/>
        <v>152229916.11111122</v>
      </c>
      <c r="Z34" s="26">
        <f t="shared" si="13"/>
        <v>152230046.46666676</v>
      </c>
      <c r="AA34" s="1">
        <f t="shared" si="14"/>
        <v>162.94444444444457</v>
      </c>
    </row>
    <row r="35" spans="1:27" x14ac:dyDescent="0.25">
      <c r="A35" s="165" t="s">
        <v>43</v>
      </c>
      <c r="B35" s="165"/>
      <c r="C35" s="165"/>
      <c r="D35" s="3">
        <f>M4-O4-X3</f>
        <v>8335817301.966671</v>
      </c>
      <c r="G35">
        <v>26</v>
      </c>
      <c r="H35" s="21">
        <v>44621</v>
      </c>
      <c r="I35" s="16">
        <f t="shared" si="0"/>
        <v>33946.759259259263</v>
      </c>
      <c r="J35" s="16">
        <f t="shared" si="15"/>
        <v>6789.3518518518531</v>
      </c>
      <c r="K35" s="16">
        <f t="shared" si="17"/>
        <v>186282332.23379645</v>
      </c>
      <c r="L35" s="26">
        <f t="shared" si="3"/>
        <v>186323068.34490755</v>
      </c>
      <c r="M35" s="26">
        <f t="shared" si="4"/>
        <v>186323227.89467606</v>
      </c>
      <c r="N35" s="16">
        <f t="shared" si="16"/>
        <v>1873861.1111111124</v>
      </c>
      <c r="O35" s="16"/>
      <c r="P35" s="16">
        <f t="shared" si="5"/>
        <v>134851799.7781634</v>
      </c>
      <c r="Q35" s="16">
        <f t="shared" si="6"/>
        <v>1352050.925925924</v>
      </c>
      <c r="R35" s="26">
        <f t="shared" si="1"/>
        <v>134885746.53742266</v>
      </c>
      <c r="S35" s="16">
        <f t="shared" si="2"/>
        <v>4799.7888695987685</v>
      </c>
      <c r="T35" s="26">
        <f t="shared" si="7"/>
        <v>186323068.34490755</v>
      </c>
      <c r="U35" s="26">
        <f t="shared" si="8"/>
        <v>186323227.89467606</v>
      </c>
      <c r="V35" s="3">
        <f t="shared" si="9"/>
        <v>37256466.446759291</v>
      </c>
      <c r="W35" s="16">
        <f t="shared" si="10"/>
        <v>7448.8888888888896</v>
      </c>
      <c r="X35" s="16">
        <f t="shared" si="11"/>
        <v>31.909953703703724</v>
      </c>
      <c r="Y35" s="26">
        <f t="shared" si="12"/>
        <v>149059153.00925937</v>
      </c>
      <c r="Z35" s="26">
        <f t="shared" si="13"/>
        <v>149059280.64907417</v>
      </c>
      <c r="AA35" s="1">
        <f t="shared" si="14"/>
        <v>159.54976851851862</v>
      </c>
    </row>
    <row r="36" spans="1:27" x14ac:dyDescent="0.25">
      <c r="G36">
        <v>27</v>
      </c>
      <c r="H36" s="21">
        <v>44652</v>
      </c>
      <c r="I36" s="16">
        <f t="shared" si="0"/>
        <v>33946.759259259263</v>
      </c>
      <c r="J36" s="16">
        <f t="shared" si="15"/>
        <v>6789.3518518518531</v>
      </c>
      <c r="K36" s="16">
        <f t="shared" si="17"/>
        <v>182318878.35648161</v>
      </c>
      <c r="L36" s="26">
        <f t="shared" si="3"/>
        <v>182359614.46759272</v>
      </c>
      <c r="M36" s="26">
        <f t="shared" si="4"/>
        <v>182359770.62268531</v>
      </c>
      <c r="N36" s="16">
        <f t="shared" si="16"/>
        <v>1833125.0000000012</v>
      </c>
      <c r="O36" s="16"/>
      <c r="P36" s="16">
        <f t="shared" si="5"/>
        <v>131548921.54706772</v>
      </c>
      <c r="Q36" s="16">
        <f t="shared" si="6"/>
        <v>1318104.1666666646</v>
      </c>
      <c r="R36" s="26">
        <f t="shared" si="1"/>
        <v>131582868.30632697</v>
      </c>
      <c r="S36" s="16">
        <f t="shared" si="2"/>
        <v>4697.6657021604969</v>
      </c>
      <c r="T36" s="26">
        <f t="shared" si="7"/>
        <v>182359614.46759272</v>
      </c>
      <c r="U36" s="26">
        <f t="shared" si="8"/>
        <v>182359770.62268531</v>
      </c>
      <c r="V36" s="3">
        <f t="shared" si="9"/>
        <v>36463775.671296321</v>
      </c>
      <c r="W36" s="16">
        <f t="shared" si="10"/>
        <v>7448.8888888888896</v>
      </c>
      <c r="X36" s="16">
        <f t="shared" si="11"/>
        <v>31.231018518518539</v>
      </c>
      <c r="Y36" s="26">
        <f t="shared" si="12"/>
        <v>145888389.90740749</v>
      </c>
      <c r="Z36" s="26">
        <f t="shared" si="13"/>
        <v>145888514.83148158</v>
      </c>
      <c r="AA36" s="1">
        <f t="shared" si="14"/>
        <v>156.15509259259269</v>
      </c>
    </row>
    <row r="37" spans="1:27" x14ac:dyDescent="0.25">
      <c r="A37" t="s">
        <v>115</v>
      </c>
      <c r="D37" s="9" t="str">
        <f>VLOOKUP('Калькулятор лизинга'!K7,Лист2!C2:E10,3,)</f>
        <v>да</v>
      </c>
      <c r="G37">
        <v>28</v>
      </c>
      <c r="H37" s="21">
        <v>44682</v>
      </c>
      <c r="I37" s="16">
        <f t="shared" si="0"/>
        <v>33946.759259259263</v>
      </c>
      <c r="J37" s="16">
        <f t="shared" si="15"/>
        <v>6789.3518518518531</v>
      </c>
      <c r="K37" s="16">
        <f t="shared" si="17"/>
        <v>178355424.47916678</v>
      </c>
      <c r="L37" s="26">
        <f t="shared" si="3"/>
        <v>178396160.59027788</v>
      </c>
      <c r="M37" s="26">
        <f t="shared" si="4"/>
        <v>178396313.35069454</v>
      </c>
      <c r="N37" s="16">
        <f t="shared" si="16"/>
        <v>1792388.8888888899</v>
      </c>
      <c r="O37" s="16"/>
      <c r="P37" s="16">
        <f t="shared" si="5"/>
        <v>128246043.31597203</v>
      </c>
      <c r="Q37" s="16">
        <f t="shared" si="6"/>
        <v>1284157.4074074053</v>
      </c>
      <c r="R37" s="26">
        <f t="shared" si="1"/>
        <v>128279990.07523128</v>
      </c>
      <c r="S37" s="16">
        <f t="shared" si="2"/>
        <v>4595.5425347222254</v>
      </c>
      <c r="T37" s="26">
        <f t="shared" si="7"/>
        <v>178396160.59027788</v>
      </c>
      <c r="U37" s="26">
        <f t="shared" si="8"/>
        <v>178396313.35069454</v>
      </c>
      <c r="V37" s="3">
        <f t="shared" si="9"/>
        <v>35671084.895833358</v>
      </c>
      <c r="W37" s="16">
        <f t="shared" si="10"/>
        <v>7448.8888888888896</v>
      </c>
      <c r="X37" s="16">
        <f t="shared" si="11"/>
        <v>30.552083333333357</v>
      </c>
      <c r="Y37" s="26">
        <f t="shared" si="12"/>
        <v>142717626.80555564</v>
      </c>
      <c r="Z37" s="26">
        <f t="shared" si="13"/>
        <v>142717749.01388896</v>
      </c>
      <c r="AA37" s="1">
        <f t="shared" si="14"/>
        <v>152.76041666666677</v>
      </c>
    </row>
    <row r="38" spans="1:27" x14ac:dyDescent="0.25">
      <c r="A38" t="s">
        <v>119</v>
      </c>
      <c r="D38" s="9" t="str">
        <f>VLOOKUP('Калькулятор лизинга'!K7,Лист2!C2:F10,4,)</f>
        <v>да</v>
      </c>
      <c r="G38">
        <v>29</v>
      </c>
      <c r="H38" s="21">
        <v>44713</v>
      </c>
      <c r="I38" s="16">
        <f t="shared" si="0"/>
        <v>33946.759259259263</v>
      </c>
      <c r="J38" s="16">
        <f t="shared" si="15"/>
        <v>6789.3518518518531</v>
      </c>
      <c r="K38" s="16">
        <f t="shared" si="17"/>
        <v>174391970.60185194</v>
      </c>
      <c r="L38" s="26">
        <f t="shared" si="3"/>
        <v>174432706.71296304</v>
      </c>
      <c r="M38" s="26">
        <f t="shared" si="4"/>
        <v>174432856.07870379</v>
      </c>
      <c r="N38" s="16">
        <f t="shared" si="16"/>
        <v>1751652.7777777787</v>
      </c>
      <c r="O38" s="16"/>
      <c r="P38" s="16">
        <f t="shared" si="5"/>
        <v>124943165.08487634</v>
      </c>
      <c r="Q38" s="16">
        <f t="shared" si="6"/>
        <v>1250210.648148146</v>
      </c>
      <c r="R38" s="26">
        <f t="shared" si="1"/>
        <v>124977111.8441356</v>
      </c>
      <c r="S38" s="16">
        <f t="shared" si="2"/>
        <v>4493.4193672839529</v>
      </c>
      <c r="T38" s="26">
        <f t="shared" si="7"/>
        <v>174432706.71296304</v>
      </c>
      <c r="U38" s="26">
        <f t="shared" si="8"/>
        <v>174432856.07870379</v>
      </c>
      <c r="V38" s="3">
        <f t="shared" si="9"/>
        <v>34878394.120370388</v>
      </c>
      <c r="W38" s="16">
        <f t="shared" si="10"/>
        <v>7448.8888888888896</v>
      </c>
      <c r="X38" s="16">
        <f t="shared" si="11"/>
        <v>29.873148148148164</v>
      </c>
      <c r="Y38" s="26">
        <f t="shared" si="12"/>
        <v>139546863.70370376</v>
      </c>
      <c r="Z38" s="26">
        <f t="shared" si="13"/>
        <v>139546983.19629636</v>
      </c>
      <c r="AA38" s="1">
        <f t="shared" si="14"/>
        <v>149.36574074074082</v>
      </c>
    </row>
    <row r="39" spans="1:27" x14ac:dyDescent="0.25">
      <c r="G39">
        <v>30</v>
      </c>
      <c r="H39" s="21">
        <v>44743</v>
      </c>
      <c r="I39" s="16">
        <f t="shared" si="0"/>
        <v>33946.759259259263</v>
      </c>
      <c r="J39" s="16">
        <f t="shared" si="15"/>
        <v>6789.3518518518531</v>
      </c>
      <c r="K39" s="16">
        <f t="shared" si="17"/>
        <v>170428516.72453713</v>
      </c>
      <c r="L39" s="26">
        <f t="shared" si="3"/>
        <v>170469252.83564824</v>
      </c>
      <c r="M39" s="26">
        <f t="shared" si="4"/>
        <v>170469398.80671304</v>
      </c>
      <c r="N39" s="16">
        <f t="shared" si="16"/>
        <v>1710916.6666666674</v>
      </c>
      <c r="O39" s="16"/>
      <c r="P39" s="16">
        <f t="shared" si="5"/>
        <v>121640286.85378066</v>
      </c>
      <c r="Q39" s="16">
        <f t="shared" si="6"/>
        <v>1216263.8888888867</v>
      </c>
      <c r="R39" s="26">
        <f t="shared" si="1"/>
        <v>121674233.61303991</v>
      </c>
      <c r="S39" s="16">
        <f t="shared" si="2"/>
        <v>4391.2961998456813</v>
      </c>
      <c r="T39" s="26">
        <f t="shared" si="7"/>
        <v>170469252.83564824</v>
      </c>
      <c r="U39" s="26">
        <f t="shared" si="8"/>
        <v>170469398.80671304</v>
      </c>
      <c r="V39" s="3">
        <f t="shared" si="9"/>
        <v>34085703.344907425</v>
      </c>
      <c r="W39" s="16">
        <f t="shared" si="10"/>
        <v>7448.8888888888896</v>
      </c>
      <c r="X39" s="16">
        <f t="shared" si="11"/>
        <v>29.194212962962979</v>
      </c>
      <c r="Y39" s="26">
        <f t="shared" si="12"/>
        <v>136376100.60185191</v>
      </c>
      <c r="Z39" s="26">
        <f t="shared" si="13"/>
        <v>136376217.37870374</v>
      </c>
      <c r="AA39" s="1">
        <f t="shared" si="14"/>
        <v>145.97106481481489</v>
      </c>
    </row>
    <row r="40" spans="1:27" x14ac:dyDescent="0.25">
      <c r="G40">
        <v>31</v>
      </c>
      <c r="H40" s="21">
        <v>44774</v>
      </c>
      <c r="I40" s="16">
        <f t="shared" si="0"/>
        <v>33946.759259259263</v>
      </c>
      <c r="J40" s="16">
        <f t="shared" si="15"/>
        <v>6789.3518518518531</v>
      </c>
      <c r="K40" s="16">
        <f t="shared" si="17"/>
        <v>166465062.8472223</v>
      </c>
      <c r="L40" s="26">
        <f t="shared" si="3"/>
        <v>166505798.9583334</v>
      </c>
      <c r="M40" s="26">
        <f t="shared" si="4"/>
        <v>166505941.5347223</v>
      </c>
      <c r="N40" s="16">
        <f t="shared" si="16"/>
        <v>1670180.5555555562</v>
      </c>
      <c r="O40" s="16"/>
      <c r="P40" s="16">
        <f t="shared" si="5"/>
        <v>118337408.62268497</v>
      </c>
      <c r="Q40" s="16">
        <f t="shared" si="6"/>
        <v>1182317.1296296273</v>
      </c>
      <c r="R40" s="26">
        <f t="shared" si="1"/>
        <v>118371355.38194422</v>
      </c>
      <c r="S40" s="16">
        <f t="shared" si="2"/>
        <v>4289.1730324074097</v>
      </c>
      <c r="T40" s="26">
        <f t="shared" si="7"/>
        <v>166505798.9583334</v>
      </c>
      <c r="U40" s="26">
        <f t="shared" si="8"/>
        <v>166505941.5347223</v>
      </c>
      <c r="V40" s="3">
        <f t="shared" si="9"/>
        <v>33293012.569444463</v>
      </c>
      <c r="W40" s="16">
        <f t="shared" si="10"/>
        <v>7448.8888888888896</v>
      </c>
      <c r="X40" s="16">
        <f t="shared" si="11"/>
        <v>28.51527777777779</v>
      </c>
      <c r="Y40" s="26">
        <f t="shared" si="12"/>
        <v>133205337.50000004</v>
      </c>
      <c r="Z40" s="26">
        <f t="shared" si="13"/>
        <v>133205451.56111117</v>
      </c>
      <c r="AA40" s="1">
        <f t="shared" si="14"/>
        <v>142.57638888888894</v>
      </c>
    </row>
    <row r="41" spans="1:27" x14ac:dyDescent="0.25">
      <c r="G41">
        <v>32</v>
      </c>
      <c r="H41" s="21">
        <v>44805</v>
      </c>
      <c r="I41" s="16">
        <f t="shared" si="0"/>
        <v>33946.759259259263</v>
      </c>
      <c r="J41" s="16">
        <f t="shared" si="15"/>
        <v>6789.3518518518531</v>
      </c>
      <c r="K41" s="16">
        <f t="shared" si="17"/>
        <v>162501608.96990746</v>
      </c>
      <c r="L41" s="26">
        <f t="shared" si="3"/>
        <v>162542345.08101857</v>
      </c>
      <c r="M41" s="26">
        <f t="shared" si="4"/>
        <v>162542484.26273152</v>
      </c>
      <c r="N41" s="16">
        <f t="shared" si="16"/>
        <v>1629444.444444445</v>
      </c>
      <c r="O41" s="16"/>
      <c r="P41" s="16">
        <f t="shared" si="5"/>
        <v>115034530.39158928</v>
      </c>
      <c r="Q41" s="16">
        <f t="shared" si="6"/>
        <v>1148370.370370368</v>
      </c>
      <c r="R41" s="26">
        <f t="shared" si="1"/>
        <v>115068477.15084854</v>
      </c>
      <c r="S41" s="16">
        <f t="shared" si="2"/>
        <v>4187.0498649691372</v>
      </c>
      <c r="T41" s="26">
        <f t="shared" si="7"/>
        <v>162542345.08101857</v>
      </c>
      <c r="U41" s="26">
        <f t="shared" si="8"/>
        <v>162542484.26273152</v>
      </c>
      <c r="V41" s="3">
        <f t="shared" si="9"/>
        <v>32500321.793981493</v>
      </c>
      <c r="W41" s="16">
        <f t="shared" si="10"/>
        <v>7448.8888888888896</v>
      </c>
      <c r="X41" s="16">
        <f t="shared" si="11"/>
        <v>27.836342592592604</v>
      </c>
      <c r="Y41" s="26">
        <f t="shared" si="12"/>
        <v>130034574.39814818</v>
      </c>
      <c r="Z41" s="26">
        <f t="shared" si="13"/>
        <v>130034685.74351853</v>
      </c>
      <c r="AA41" s="1">
        <f t="shared" si="14"/>
        <v>139.18171296296302</v>
      </c>
    </row>
    <row r="42" spans="1:27" x14ac:dyDescent="0.25">
      <c r="G42">
        <v>33</v>
      </c>
      <c r="H42" s="21">
        <v>44835</v>
      </c>
      <c r="I42" s="16">
        <f t="shared" ref="I42:I73" si="18">IF(G42&lt;=$D$14,$N$9/$D$14*1/(1+$D$20),0)</f>
        <v>33946.759259259263</v>
      </c>
      <c r="J42" s="16">
        <f t="shared" si="15"/>
        <v>6789.3518518518531</v>
      </c>
      <c r="K42" s="16">
        <f t="shared" ref="K42:K73" si="19">IF(G42&lt;=$D$14,N41*$D$17,0)</f>
        <v>158538155.09259266</v>
      </c>
      <c r="L42" s="26">
        <f t="shared" si="3"/>
        <v>158578891.20370376</v>
      </c>
      <c r="M42" s="26">
        <f t="shared" si="4"/>
        <v>158579026.99074081</v>
      </c>
      <c r="N42" s="16">
        <f t="shared" ref="N42:N73" si="20">IF(G42&lt;=$D$14,N41-I42-J42,0)</f>
        <v>1588708.3333333337</v>
      </c>
      <c r="O42" s="16"/>
      <c r="P42" s="16">
        <f t="shared" si="5"/>
        <v>111731652.1604936</v>
      </c>
      <c r="Q42" s="16">
        <f t="shared" si="6"/>
        <v>1114423.6111111087</v>
      </c>
      <c r="R42" s="26">
        <f t="shared" ref="R42:R73" si="21">IF(G42&lt;=$D$14,I42+P42,0)</f>
        <v>111765598.91975285</v>
      </c>
      <c r="S42" s="16">
        <f t="shared" ref="S42:S73" si="22">IF(G42&lt;=$D$14,IF($D$37="льготное",K42,N41*($D$24+3%)/12),0)</f>
        <v>4084.9266975308656</v>
      </c>
      <c r="T42" s="26">
        <f t="shared" si="7"/>
        <v>158578891.20370376</v>
      </c>
      <c r="U42" s="26">
        <f t="shared" si="8"/>
        <v>158579026.99074081</v>
      </c>
      <c r="V42" s="3">
        <f t="shared" si="9"/>
        <v>31707631.018518534</v>
      </c>
      <c r="W42" s="16">
        <f t="shared" si="10"/>
        <v>7448.8888888888896</v>
      </c>
      <c r="X42" s="16">
        <f t="shared" si="11"/>
        <v>27.157407407407415</v>
      </c>
      <c r="Y42" s="26">
        <f t="shared" si="12"/>
        <v>126863811.29629633</v>
      </c>
      <c r="Z42" s="26">
        <f t="shared" si="13"/>
        <v>126863919.92592597</v>
      </c>
      <c r="AA42" s="1">
        <f t="shared" si="14"/>
        <v>135.78703703703707</v>
      </c>
    </row>
    <row r="43" spans="1:27" x14ac:dyDescent="0.25">
      <c r="B43" t="s">
        <v>29</v>
      </c>
      <c r="G43">
        <v>34</v>
      </c>
      <c r="H43" s="21">
        <v>44866</v>
      </c>
      <c r="I43" s="16">
        <f t="shared" si="18"/>
        <v>33946.759259259263</v>
      </c>
      <c r="J43" s="16">
        <f t="shared" si="15"/>
        <v>6789.3518518518531</v>
      </c>
      <c r="K43" s="16">
        <f t="shared" si="19"/>
        <v>154574701.21527782</v>
      </c>
      <c r="L43" s="26">
        <f t="shared" si="3"/>
        <v>154615437.32638893</v>
      </c>
      <c r="M43" s="26">
        <f t="shared" si="4"/>
        <v>154615569.71875003</v>
      </c>
      <c r="N43" s="16">
        <f t="shared" si="20"/>
        <v>1547972.2222222225</v>
      </c>
      <c r="O43" s="16"/>
      <c r="P43" s="16">
        <f t="shared" ref="P43:P74" si="23">IF(G42&lt;=$D$14,Q42*$D$17,0)</f>
        <v>108428773.92939791</v>
      </c>
      <c r="Q43" s="16">
        <f t="shared" ref="Q43:Q74" si="24">IF(G42&lt;=$D$14,Q42-I43,0)</f>
        <v>1080476.8518518494</v>
      </c>
      <c r="R43" s="26">
        <f t="shared" si="21"/>
        <v>108462720.68865716</v>
      </c>
      <c r="S43" s="16">
        <f t="shared" si="22"/>
        <v>3982.8035300925935</v>
      </c>
      <c r="T43" s="26">
        <f t="shared" si="7"/>
        <v>154615437.32638893</v>
      </c>
      <c r="U43" s="26">
        <f t="shared" si="8"/>
        <v>154615569.71875003</v>
      </c>
      <c r="V43" s="3">
        <f t="shared" si="9"/>
        <v>30914940.243055567</v>
      </c>
      <c r="W43" s="16">
        <f t="shared" si="10"/>
        <v>7448.8888888888896</v>
      </c>
      <c r="X43" s="16">
        <f t="shared" si="11"/>
        <v>26.47847222222223</v>
      </c>
      <c r="Y43" s="26">
        <f t="shared" si="12"/>
        <v>123693048.19444446</v>
      </c>
      <c r="Z43" s="26">
        <f t="shared" si="13"/>
        <v>123693154.10833333</v>
      </c>
      <c r="AA43" s="1">
        <f t="shared" si="14"/>
        <v>132.39236111111114</v>
      </c>
    </row>
    <row r="44" spans="1:27" x14ac:dyDescent="0.25">
      <c r="G44">
        <v>35</v>
      </c>
      <c r="H44" s="21">
        <v>44896</v>
      </c>
      <c r="I44" s="16">
        <f t="shared" si="18"/>
        <v>33946.759259259263</v>
      </c>
      <c r="J44" s="16">
        <f t="shared" si="15"/>
        <v>6789.3518518518531</v>
      </c>
      <c r="K44" s="16">
        <f t="shared" si="19"/>
        <v>150611247.33796299</v>
      </c>
      <c r="L44" s="26">
        <f t="shared" si="3"/>
        <v>150651983.44907409</v>
      </c>
      <c r="M44" s="26">
        <f t="shared" si="4"/>
        <v>150652112.44675928</v>
      </c>
      <c r="N44" s="16">
        <f t="shared" si="20"/>
        <v>1507236.1111111112</v>
      </c>
      <c r="O44" s="16"/>
      <c r="P44" s="16">
        <f t="shared" si="23"/>
        <v>105125895.69830222</v>
      </c>
      <c r="Q44" s="16">
        <f t="shared" si="24"/>
        <v>1046530.0925925901</v>
      </c>
      <c r="R44" s="26">
        <f t="shared" si="21"/>
        <v>105159842.45756148</v>
      </c>
      <c r="S44" s="16">
        <f t="shared" si="22"/>
        <v>3880.6803626543219</v>
      </c>
      <c r="T44" s="26">
        <f t="shared" si="7"/>
        <v>150651983.44907409</v>
      </c>
      <c r="U44" s="26">
        <f t="shared" si="8"/>
        <v>150652112.44675928</v>
      </c>
      <c r="V44" s="3">
        <f t="shared" si="9"/>
        <v>30122249.467592597</v>
      </c>
      <c r="W44" s="16">
        <f t="shared" si="10"/>
        <v>7448.8888888888896</v>
      </c>
      <c r="X44" s="16">
        <f t="shared" si="11"/>
        <v>25.799537037037041</v>
      </c>
      <c r="Y44" s="26">
        <f t="shared" si="12"/>
        <v>120522285.0925926</v>
      </c>
      <c r="Z44" s="26">
        <f t="shared" si="13"/>
        <v>120522388.29074076</v>
      </c>
      <c r="AA44" s="1">
        <f t="shared" si="14"/>
        <v>128.99768518518519</v>
      </c>
    </row>
    <row r="45" spans="1:27" x14ac:dyDescent="0.25">
      <c r="G45">
        <v>36</v>
      </c>
      <c r="H45" s="21">
        <v>44927</v>
      </c>
      <c r="I45" s="16">
        <f t="shared" si="18"/>
        <v>33946.759259259263</v>
      </c>
      <c r="J45" s="16">
        <f t="shared" si="15"/>
        <v>6789.3518518518531</v>
      </c>
      <c r="K45" s="16">
        <f t="shared" si="19"/>
        <v>146647793.46064815</v>
      </c>
      <c r="L45" s="26">
        <f t="shared" si="3"/>
        <v>146688529.57175925</v>
      </c>
      <c r="M45" s="26">
        <f t="shared" si="4"/>
        <v>146688655.17476851</v>
      </c>
      <c r="N45" s="16">
        <f t="shared" si="20"/>
        <v>1466500</v>
      </c>
      <c r="O45" s="16"/>
      <c r="P45" s="16">
        <f t="shared" si="23"/>
        <v>101823017.46720655</v>
      </c>
      <c r="Q45" s="16">
        <f t="shared" si="24"/>
        <v>1012583.3333333309</v>
      </c>
      <c r="R45" s="26">
        <f t="shared" si="21"/>
        <v>101856964.22646581</v>
      </c>
      <c r="S45" s="16">
        <f t="shared" si="22"/>
        <v>3778.5571952160499</v>
      </c>
      <c r="T45" s="26">
        <f t="shared" si="7"/>
        <v>146688529.57175925</v>
      </c>
      <c r="U45" s="26">
        <f t="shared" si="8"/>
        <v>146688655.17476851</v>
      </c>
      <c r="V45" s="3">
        <f t="shared" si="9"/>
        <v>29329558.692129631</v>
      </c>
      <c r="W45" s="16">
        <f t="shared" si="10"/>
        <v>7448.8888888888896</v>
      </c>
      <c r="X45" s="16">
        <f t="shared" si="11"/>
        <v>25.120601851851855</v>
      </c>
      <c r="Y45" s="26">
        <f t="shared" si="12"/>
        <v>117351521.99074073</v>
      </c>
      <c r="Z45" s="26">
        <f t="shared" si="13"/>
        <v>117351622.47314812</v>
      </c>
      <c r="AA45" s="1">
        <f t="shared" si="14"/>
        <v>125.60300925925927</v>
      </c>
    </row>
    <row r="46" spans="1:27" x14ac:dyDescent="0.25">
      <c r="G46">
        <v>37</v>
      </c>
      <c r="H46" s="21">
        <v>44958</v>
      </c>
      <c r="I46" s="16">
        <f t="shared" si="18"/>
        <v>33946.759259259263</v>
      </c>
      <c r="J46" s="16">
        <f t="shared" si="15"/>
        <v>6789.3518518518531</v>
      </c>
      <c r="K46" s="16">
        <f t="shared" si="19"/>
        <v>142684339.58333334</v>
      </c>
      <c r="L46" s="26">
        <f t="shared" si="3"/>
        <v>142725075.69444445</v>
      </c>
      <c r="M46" s="26">
        <f t="shared" si="4"/>
        <v>142725197.90277779</v>
      </c>
      <c r="N46" s="16">
        <f t="shared" si="20"/>
        <v>1425763.8888888888</v>
      </c>
      <c r="O46" s="16"/>
      <c r="P46" s="16">
        <f t="shared" si="23"/>
        <v>98520139.236110881</v>
      </c>
      <c r="Q46" s="16">
        <f t="shared" si="24"/>
        <v>978636.57407407172</v>
      </c>
      <c r="R46" s="26">
        <f t="shared" si="21"/>
        <v>98554085.995370135</v>
      </c>
      <c r="S46" s="16">
        <f t="shared" si="22"/>
        <v>3676.4340277777778</v>
      </c>
      <c r="T46" s="26">
        <f t="shared" si="7"/>
        <v>142725075.69444445</v>
      </c>
      <c r="U46" s="26">
        <f t="shared" si="8"/>
        <v>142725197.90277779</v>
      </c>
      <c r="V46" s="3">
        <f t="shared" si="9"/>
        <v>28536867.916666672</v>
      </c>
      <c r="W46" s="16">
        <f t="shared" si="10"/>
        <v>7448.8888888888896</v>
      </c>
      <c r="X46" s="16">
        <f t="shared" si="11"/>
        <v>24.441666666666666</v>
      </c>
      <c r="Y46" s="26">
        <f t="shared" si="12"/>
        <v>114180758.88888888</v>
      </c>
      <c r="Z46" s="26">
        <f t="shared" si="13"/>
        <v>114180856.65555556</v>
      </c>
      <c r="AA46" s="1">
        <f t="shared" si="14"/>
        <v>122.20833333333333</v>
      </c>
    </row>
    <row r="47" spans="1:27" x14ac:dyDescent="0.25">
      <c r="G47">
        <v>38</v>
      </c>
      <c r="H47" s="21">
        <v>44986</v>
      </c>
      <c r="I47" s="16">
        <f t="shared" si="18"/>
        <v>33946.759259259263</v>
      </c>
      <c r="J47" s="16">
        <f t="shared" si="15"/>
        <v>6789.3518518518531</v>
      </c>
      <c r="K47" s="16">
        <f t="shared" si="19"/>
        <v>138720885.70601851</v>
      </c>
      <c r="L47" s="26">
        <f t="shared" si="3"/>
        <v>138761621.81712961</v>
      </c>
      <c r="M47" s="26">
        <f t="shared" si="4"/>
        <v>138761740.63078701</v>
      </c>
      <c r="N47" s="16">
        <f t="shared" si="20"/>
        <v>1385027.7777777775</v>
      </c>
      <c r="O47" s="16"/>
      <c r="P47" s="16">
        <f t="shared" si="23"/>
        <v>95217261.005015209</v>
      </c>
      <c r="Q47" s="16">
        <f t="shared" si="24"/>
        <v>944689.8148148125</v>
      </c>
      <c r="R47" s="26">
        <f t="shared" si="21"/>
        <v>95251207.764274463</v>
      </c>
      <c r="S47" s="16">
        <f t="shared" si="22"/>
        <v>3574.3108603395062</v>
      </c>
      <c r="T47" s="26">
        <f t="shared" si="7"/>
        <v>138761621.81712961</v>
      </c>
      <c r="U47" s="26">
        <f t="shared" si="8"/>
        <v>138761740.63078701</v>
      </c>
      <c r="V47" s="3">
        <f t="shared" si="9"/>
        <v>27744177.141203701</v>
      </c>
      <c r="W47" s="16">
        <f t="shared" si="10"/>
        <v>7448.8888888888896</v>
      </c>
      <c r="X47" s="16">
        <f t="shared" si="11"/>
        <v>23.762731481481481</v>
      </c>
      <c r="Y47" s="26">
        <f t="shared" si="12"/>
        <v>111009995.78703701</v>
      </c>
      <c r="Z47" s="26">
        <f t="shared" si="13"/>
        <v>111010090.83796293</v>
      </c>
      <c r="AA47" s="1">
        <f t="shared" si="14"/>
        <v>118.81365740740739</v>
      </c>
    </row>
    <row r="48" spans="1:27" x14ac:dyDescent="0.25">
      <c r="G48">
        <v>39</v>
      </c>
      <c r="H48" s="21">
        <v>45017</v>
      </c>
      <c r="I48" s="16">
        <f t="shared" si="18"/>
        <v>33946.759259259263</v>
      </c>
      <c r="J48" s="16">
        <f t="shared" si="15"/>
        <v>6789.3518518518531</v>
      </c>
      <c r="K48" s="16">
        <f t="shared" si="19"/>
        <v>134757431.82870367</v>
      </c>
      <c r="L48" s="26">
        <f t="shared" si="3"/>
        <v>134798167.93981478</v>
      </c>
      <c r="M48" s="26">
        <f t="shared" si="4"/>
        <v>134798283.35879627</v>
      </c>
      <c r="N48" s="16">
        <f t="shared" si="20"/>
        <v>1344291.6666666663</v>
      </c>
      <c r="O48" s="16"/>
      <c r="P48" s="16">
        <f t="shared" si="23"/>
        <v>91914382.773919523</v>
      </c>
      <c r="Q48" s="16">
        <f t="shared" si="24"/>
        <v>910743.05555555329</v>
      </c>
      <c r="R48" s="26">
        <f t="shared" si="21"/>
        <v>91948329.533178777</v>
      </c>
      <c r="S48" s="16">
        <f t="shared" si="22"/>
        <v>3472.1876929012342</v>
      </c>
      <c r="T48" s="26">
        <f t="shared" si="7"/>
        <v>134798167.93981478</v>
      </c>
      <c r="U48" s="26">
        <f t="shared" si="8"/>
        <v>134798283.35879627</v>
      </c>
      <c r="V48" s="3">
        <f t="shared" si="9"/>
        <v>26951486.365740735</v>
      </c>
      <c r="W48" s="16">
        <f t="shared" si="10"/>
        <v>7448.8888888888896</v>
      </c>
      <c r="X48" s="16">
        <f t="shared" si="11"/>
        <v>23.083796296296292</v>
      </c>
      <c r="Y48" s="26">
        <f t="shared" si="12"/>
        <v>107839232.68518515</v>
      </c>
      <c r="Z48" s="26">
        <f t="shared" si="13"/>
        <v>107839325.02037035</v>
      </c>
      <c r="AA48" s="1">
        <f t="shared" si="14"/>
        <v>115.41898148148145</v>
      </c>
    </row>
    <row r="49" spans="7:27" x14ac:dyDescent="0.25">
      <c r="G49">
        <v>40</v>
      </c>
      <c r="H49" s="21">
        <v>45047</v>
      </c>
      <c r="I49" s="16">
        <f t="shared" si="18"/>
        <v>33946.759259259263</v>
      </c>
      <c r="J49" s="16">
        <f t="shared" si="15"/>
        <v>6789.3518518518531</v>
      </c>
      <c r="K49" s="16">
        <f t="shared" si="19"/>
        <v>130793977.95138885</v>
      </c>
      <c r="L49" s="26">
        <f t="shared" si="3"/>
        <v>130834714.06249996</v>
      </c>
      <c r="M49" s="26">
        <f t="shared" si="4"/>
        <v>130834826.08680551</v>
      </c>
      <c r="N49" s="16">
        <f t="shared" si="20"/>
        <v>1303555.555555555</v>
      </c>
      <c r="O49" s="16"/>
      <c r="P49" s="16">
        <f t="shared" si="23"/>
        <v>88611504.542823851</v>
      </c>
      <c r="Q49" s="16">
        <f t="shared" si="24"/>
        <v>876796.29629629408</v>
      </c>
      <c r="R49" s="26">
        <f t="shared" si="21"/>
        <v>88645451.302083105</v>
      </c>
      <c r="S49" s="16">
        <f t="shared" si="22"/>
        <v>3370.0645254629621</v>
      </c>
      <c r="T49" s="26">
        <f t="shared" si="7"/>
        <v>130834714.06249996</v>
      </c>
      <c r="U49" s="26">
        <f t="shared" si="8"/>
        <v>130834826.08680551</v>
      </c>
      <c r="V49" s="3">
        <f t="shared" si="9"/>
        <v>26158795.590277772</v>
      </c>
      <c r="W49" s="16">
        <f t="shared" si="10"/>
        <v>7448.8888888888896</v>
      </c>
      <c r="X49" s="16">
        <f t="shared" si="11"/>
        <v>22.404861111111103</v>
      </c>
      <c r="Y49" s="26">
        <f t="shared" si="12"/>
        <v>104668469.58333328</v>
      </c>
      <c r="Z49" s="26">
        <f t="shared" si="13"/>
        <v>104668559.20277773</v>
      </c>
      <c r="AA49" s="1">
        <f t="shared" si="14"/>
        <v>112.02430555555551</v>
      </c>
    </row>
    <row r="50" spans="7:27" x14ac:dyDescent="0.25">
      <c r="G50">
        <v>41</v>
      </c>
      <c r="H50" s="21">
        <v>45078</v>
      </c>
      <c r="I50" s="16">
        <f t="shared" si="18"/>
        <v>33946.759259259263</v>
      </c>
      <c r="J50" s="16">
        <f t="shared" si="15"/>
        <v>6789.3518518518531</v>
      </c>
      <c r="K50" s="16">
        <f t="shared" si="19"/>
        <v>126830524.07407403</v>
      </c>
      <c r="L50" s="26">
        <f t="shared" si="3"/>
        <v>126871260.18518513</v>
      </c>
      <c r="M50" s="26">
        <f t="shared" si="4"/>
        <v>126871368.81481476</v>
      </c>
      <c r="N50" s="16">
        <f t="shared" si="20"/>
        <v>1262819.4444444438</v>
      </c>
      <c r="O50" s="16"/>
      <c r="P50" s="16">
        <f t="shared" si="23"/>
        <v>85308626.311728179</v>
      </c>
      <c r="Q50" s="16">
        <f t="shared" si="24"/>
        <v>842849.53703703487</v>
      </c>
      <c r="R50" s="26">
        <f t="shared" si="21"/>
        <v>85342573.070987433</v>
      </c>
      <c r="S50" s="16">
        <f t="shared" si="22"/>
        <v>3267.9413580246896</v>
      </c>
      <c r="T50" s="26">
        <f t="shared" si="7"/>
        <v>126871260.18518513</v>
      </c>
      <c r="U50" s="26">
        <f t="shared" si="8"/>
        <v>126871368.81481476</v>
      </c>
      <c r="V50" s="3">
        <f t="shared" si="9"/>
        <v>25366104.814814806</v>
      </c>
      <c r="W50" s="16">
        <f t="shared" si="10"/>
        <v>7448.8888888888896</v>
      </c>
      <c r="X50" s="16">
        <f t="shared" si="11"/>
        <v>21.725925925925917</v>
      </c>
      <c r="Y50" s="26">
        <f t="shared" si="12"/>
        <v>101497706.48148143</v>
      </c>
      <c r="Z50" s="26">
        <f t="shared" si="13"/>
        <v>101497793.38518514</v>
      </c>
      <c r="AA50" s="1">
        <f t="shared" si="14"/>
        <v>108.62962962962958</v>
      </c>
    </row>
    <row r="51" spans="7:27" x14ac:dyDescent="0.25">
      <c r="G51">
        <v>42</v>
      </c>
      <c r="H51" s="21">
        <v>45108</v>
      </c>
      <c r="I51" s="16">
        <f t="shared" si="18"/>
        <v>33946.759259259263</v>
      </c>
      <c r="J51" s="16">
        <f t="shared" si="15"/>
        <v>6789.3518518518531</v>
      </c>
      <c r="K51" s="16">
        <f t="shared" si="19"/>
        <v>122867070.19675919</v>
      </c>
      <c r="L51" s="26">
        <f t="shared" si="3"/>
        <v>122907806.3078703</v>
      </c>
      <c r="M51" s="26">
        <f t="shared" si="4"/>
        <v>122907911.542824</v>
      </c>
      <c r="N51" s="16">
        <f t="shared" si="20"/>
        <v>1222083.3333333326</v>
      </c>
      <c r="O51" s="16"/>
      <c r="P51" s="16">
        <f t="shared" si="23"/>
        <v>82005748.080632508</v>
      </c>
      <c r="Q51" s="16">
        <f t="shared" si="24"/>
        <v>808902.77777777566</v>
      </c>
      <c r="R51" s="26">
        <f t="shared" si="21"/>
        <v>82039694.839891762</v>
      </c>
      <c r="S51" s="16">
        <f t="shared" si="22"/>
        <v>3165.818190586418</v>
      </c>
      <c r="T51" s="26">
        <f t="shared" si="7"/>
        <v>122907806.3078703</v>
      </c>
      <c r="U51" s="26">
        <f t="shared" si="8"/>
        <v>122907911.542824</v>
      </c>
      <c r="V51" s="3">
        <f t="shared" si="9"/>
        <v>24573414.03935184</v>
      </c>
      <c r="W51" s="16">
        <f t="shared" si="10"/>
        <v>7448.8888888888896</v>
      </c>
      <c r="X51" s="16">
        <f t="shared" si="11"/>
        <v>21.046990740740732</v>
      </c>
      <c r="Y51" s="26">
        <f t="shared" si="12"/>
        <v>98326943.379629567</v>
      </c>
      <c r="Z51" s="26">
        <f t="shared" si="13"/>
        <v>98327027.567592531</v>
      </c>
      <c r="AA51" s="1">
        <f t="shared" si="14"/>
        <v>105.23495370370365</v>
      </c>
    </row>
    <row r="52" spans="7:27" x14ac:dyDescent="0.25">
      <c r="G52">
        <v>43</v>
      </c>
      <c r="H52" s="21">
        <v>45139</v>
      </c>
      <c r="I52" s="16">
        <f t="shared" si="18"/>
        <v>33946.759259259263</v>
      </c>
      <c r="J52" s="16">
        <f t="shared" si="15"/>
        <v>6789.3518518518531</v>
      </c>
      <c r="K52" s="16">
        <f t="shared" si="19"/>
        <v>118903616.31944437</v>
      </c>
      <c r="L52" s="26">
        <f t="shared" si="3"/>
        <v>118944352.43055548</v>
      </c>
      <c r="M52" s="26">
        <f t="shared" si="4"/>
        <v>118944454.27083325</v>
      </c>
      <c r="N52" s="16">
        <f t="shared" si="20"/>
        <v>1181347.2222222213</v>
      </c>
      <c r="O52" s="16"/>
      <c r="P52" s="16">
        <f t="shared" si="23"/>
        <v>78702869.849536836</v>
      </c>
      <c r="Q52" s="16">
        <f t="shared" si="24"/>
        <v>774956.01851851644</v>
      </c>
      <c r="R52" s="26">
        <f t="shared" si="21"/>
        <v>78736816.60879609</v>
      </c>
      <c r="S52" s="16">
        <f t="shared" si="22"/>
        <v>3063.695023148146</v>
      </c>
      <c r="T52" s="26">
        <f t="shared" si="7"/>
        <v>118944352.43055548</v>
      </c>
      <c r="U52" s="26">
        <f t="shared" si="8"/>
        <v>118944454.27083325</v>
      </c>
      <c r="V52" s="3">
        <f t="shared" si="9"/>
        <v>23780723.263888877</v>
      </c>
      <c r="W52" s="16">
        <f t="shared" si="10"/>
        <v>7448.8888888888896</v>
      </c>
      <c r="X52" s="16">
        <f t="shared" si="11"/>
        <v>20.368055555555543</v>
      </c>
      <c r="Y52" s="26">
        <f t="shared" si="12"/>
        <v>95156180.277777702</v>
      </c>
      <c r="Z52" s="26">
        <f t="shared" si="13"/>
        <v>95156261.749999925</v>
      </c>
      <c r="AA52" s="1">
        <f t="shared" si="14"/>
        <v>101.84027777777771</v>
      </c>
    </row>
    <row r="53" spans="7:27" x14ac:dyDescent="0.25">
      <c r="G53">
        <v>44</v>
      </c>
      <c r="H53" s="21">
        <v>45170</v>
      </c>
      <c r="I53" s="16">
        <f t="shared" si="18"/>
        <v>33946.759259259263</v>
      </c>
      <c r="J53" s="16">
        <f t="shared" si="15"/>
        <v>6789.3518518518531</v>
      </c>
      <c r="K53" s="16">
        <f t="shared" si="19"/>
        <v>114940162.44212954</v>
      </c>
      <c r="L53" s="26">
        <f t="shared" si="3"/>
        <v>114980898.55324064</v>
      </c>
      <c r="M53" s="26">
        <f t="shared" si="4"/>
        <v>114980996.99884249</v>
      </c>
      <c r="N53" s="16">
        <f t="shared" si="20"/>
        <v>1140611.1111111101</v>
      </c>
      <c r="O53" s="16"/>
      <c r="P53" s="16">
        <f t="shared" si="23"/>
        <v>75399991.61844115</v>
      </c>
      <c r="Q53" s="16">
        <f t="shared" si="24"/>
        <v>741009.25925925723</v>
      </c>
      <c r="R53" s="26">
        <f t="shared" si="21"/>
        <v>75433938.377700403</v>
      </c>
      <c r="S53" s="16">
        <f t="shared" si="22"/>
        <v>2961.5718557098739</v>
      </c>
      <c r="T53" s="26">
        <f t="shared" si="7"/>
        <v>114980898.55324064</v>
      </c>
      <c r="U53" s="26">
        <f t="shared" si="8"/>
        <v>114980996.99884249</v>
      </c>
      <c r="V53" s="3">
        <f t="shared" si="9"/>
        <v>22988032.48842591</v>
      </c>
      <c r="W53" s="16">
        <f t="shared" si="10"/>
        <v>7448.8888888888896</v>
      </c>
      <c r="X53" s="16">
        <f t="shared" si="11"/>
        <v>19.689120370370357</v>
      </c>
      <c r="Y53" s="26">
        <f t="shared" si="12"/>
        <v>91985417.175925836</v>
      </c>
      <c r="Z53" s="26">
        <f t="shared" si="13"/>
        <v>91985495.93240732</v>
      </c>
      <c r="AA53" s="1">
        <f t="shared" si="14"/>
        <v>98.445601851851777</v>
      </c>
    </row>
    <row r="54" spans="7:27" x14ac:dyDescent="0.25">
      <c r="G54">
        <v>45</v>
      </c>
      <c r="H54" s="21">
        <v>45200</v>
      </c>
      <c r="I54" s="16">
        <f t="shared" si="18"/>
        <v>33946.759259259263</v>
      </c>
      <c r="J54" s="16">
        <f t="shared" si="15"/>
        <v>6789.3518518518531</v>
      </c>
      <c r="K54" s="16">
        <f t="shared" si="19"/>
        <v>110976708.56481472</v>
      </c>
      <c r="L54" s="26">
        <f t="shared" si="3"/>
        <v>111017444.67592582</v>
      </c>
      <c r="M54" s="26">
        <f t="shared" si="4"/>
        <v>111017539.72685175</v>
      </c>
      <c r="N54" s="16">
        <f t="shared" si="20"/>
        <v>1099874.9999999988</v>
      </c>
      <c r="O54" s="16"/>
      <c r="P54" s="16">
        <f t="shared" si="23"/>
        <v>72097113.387345478</v>
      </c>
      <c r="Q54" s="16">
        <f t="shared" si="24"/>
        <v>707062.49999999802</v>
      </c>
      <c r="R54" s="26">
        <f t="shared" si="21"/>
        <v>72131060.146604732</v>
      </c>
      <c r="S54" s="16">
        <f t="shared" si="22"/>
        <v>2859.4486882716024</v>
      </c>
      <c r="T54" s="26">
        <f t="shared" si="7"/>
        <v>111017444.67592582</v>
      </c>
      <c r="U54" s="26">
        <f t="shared" si="8"/>
        <v>111017539.72685175</v>
      </c>
      <c r="V54" s="3">
        <f t="shared" si="9"/>
        <v>22195341.712962944</v>
      </c>
      <c r="W54" s="16">
        <f t="shared" si="10"/>
        <v>7448.8888888888896</v>
      </c>
      <c r="X54" s="16">
        <f t="shared" si="11"/>
        <v>19.010185185185168</v>
      </c>
      <c r="Y54" s="26">
        <f t="shared" si="12"/>
        <v>88814654.074073985</v>
      </c>
      <c r="Z54" s="26">
        <f t="shared" si="13"/>
        <v>88814730.114814728</v>
      </c>
      <c r="AA54" s="1">
        <f t="shared" si="14"/>
        <v>95.050925925925839</v>
      </c>
    </row>
    <row r="55" spans="7:27" x14ac:dyDescent="0.25">
      <c r="G55">
        <v>46</v>
      </c>
      <c r="H55" s="21">
        <v>45231</v>
      </c>
      <c r="I55" s="16">
        <f t="shared" si="18"/>
        <v>33946.759259259263</v>
      </c>
      <c r="J55" s="16">
        <f t="shared" si="15"/>
        <v>6789.3518518518531</v>
      </c>
      <c r="K55" s="16">
        <f t="shared" si="19"/>
        <v>107013254.68749988</v>
      </c>
      <c r="L55" s="26">
        <f t="shared" si="3"/>
        <v>107053990.79861099</v>
      </c>
      <c r="M55" s="26">
        <f t="shared" si="4"/>
        <v>107054082.45486099</v>
      </c>
      <c r="N55" s="16">
        <f t="shared" si="20"/>
        <v>1059138.8888888876</v>
      </c>
      <c r="O55" s="16"/>
      <c r="P55" s="16">
        <f t="shared" si="23"/>
        <v>68794235.156249806</v>
      </c>
      <c r="Q55" s="16">
        <f t="shared" si="24"/>
        <v>673115.74074073881</v>
      </c>
      <c r="R55" s="26">
        <f t="shared" si="21"/>
        <v>68828181.91550906</v>
      </c>
      <c r="S55" s="16">
        <f t="shared" si="22"/>
        <v>2757.3255208333303</v>
      </c>
      <c r="T55" s="26">
        <f t="shared" si="7"/>
        <v>107053990.79861099</v>
      </c>
      <c r="U55" s="26">
        <f t="shared" si="8"/>
        <v>107054082.45486099</v>
      </c>
      <c r="V55" s="3">
        <f t="shared" si="9"/>
        <v>21402650.937499978</v>
      </c>
      <c r="W55" s="16">
        <f t="shared" si="10"/>
        <v>7448.8888888888896</v>
      </c>
      <c r="X55" s="16">
        <f t="shared" si="11"/>
        <v>18.331249999999979</v>
      </c>
      <c r="Y55" s="26">
        <f t="shared" si="12"/>
        <v>85643890.97222212</v>
      </c>
      <c r="Z55" s="26">
        <f t="shared" si="13"/>
        <v>85643964.297222108</v>
      </c>
      <c r="AA55" s="1">
        <f t="shared" si="14"/>
        <v>91.656249999999901</v>
      </c>
    </row>
    <row r="56" spans="7:27" x14ac:dyDescent="0.25">
      <c r="G56">
        <v>47</v>
      </c>
      <c r="H56" s="21">
        <v>45261</v>
      </c>
      <c r="I56" s="16">
        <f t="shared" si="18"/>
        <v>33946.759259259263</v>
      </c>
      <c r="J56" s="16">
        <f t="shared" si="15"/>
        <v>6789.3518518518531</v>
      </c>
      <c r="K56" s="16">
        <f t="shared" si="19"/>
        <v>103049800.81018506</v>
      </c>
      <c r="L56" s="26">
        <f t="shared" si="3"/>
        <v>103090536.92129616</v>
      </c>
      <c r="M56" s="26">
        <f t="shared" si="4"/>
        <v>103090625.18287024</v>
      </c>
      <c r="N56" s="16">
        <f t="shared" si="20"/>
        <v>1018402.7777777766</v>
      </c>
      <c r="O56" s="16"/>
      <c r="P56" s="16">
        <f t="shared" si="23"/>
        <v>65491356.925154135</v>
      </c>
      <c r="Q56" s="16">
        <f t="shared" si="24"/>
        <v>639168.9814814796</v>
      </c>
      <c r="R56" s="26">
        <f t="shared" si="21"/>
        <v>65525303.684413396</v>
      </c>
      <c r="S56" s="16">
        <f t="shared" si="22"/>
        <v>2655.2023533950583</v>
      </c>
      <c r="T56" s="26">
        <f t="shared" si="7"/>
        <v>103090536.92129616</v>
      </c>
      <c r="U56" s="26">
        <f t="shared" si="8"/>
        <v>103090625.18287024</v>
      </c>
      <c r="V56" s="3">
        <f t="shared" si="9"/>
        <v>20609960.162037015</v>
      </c>
      <c r="W56" s="16">
        <f t="shared" si="10"/>
        <v>7448.8888888888896</v>
      </c>
      <c r="X56" s="16">
        <f t="shared" si="11"/>
        <v>17.652314814814794</v>
      </c>
      <c r="Y56" s="26">
        <f t="shared" si="12"/>
        <v>82473127.870370254</v>
      </c>
      <c r="Z56" s="26">
        <f t="shared" si="13"/>
        <v>82473198.479629517</v>
      </c>
      <c r="AA56" s="1">
        <f t="shared" si="14"/>
        <v>88.261574074073962</v>
      </c>
    </row>
    <row r="57" spans="7:27" x14ac:dyDescent="0.25">
      <c r="G57">
        <v>48</v>
      </c>
      <c r="H57" s="21">
        <v>45292</v>
      </c>
      <c r="I57" s="16">
        <f t="shared" si="18"/>
        <v>33946.759259259263</v>
      </c>
      <c r="J57" s="16">
        <f t="shared" si="15"/>
        <v>6789.3518518518531</v>
      </c>
      <c r="K57" s="16">
        <f t="shared" si="19"/>
        <v>99086346.932870254</v>
      </c>
      <c r="L57" s="26">
        <f t="shared" si="3"/>
        <v>99127083.043981358</v>
      </c>
      <c r="M57" s="26">
        <f t="shared" si="4"/>
        <v>99127167.910879508</v>
      </c>
      <c r="N57" s="16">
        <f t="shared" si="20"/>
        <v>977666.66666666558</v>
      </c>
      <c r="O57" s="16"/>
      <c r="P57" s="16">
        <f t="shared" si="23"/>
        <v>62188478.694058463</v>
      </c>
      <c r="Q57" s="16">
        <f t="shared" si="24"/>
        <v>605222.22222222039</v>
      </c>
      <c r="R57" s="26">
        <f t="shared" si="21"/>
        <v>62222425.453317724</v>
      </c>
      <c r="S57" s="16">
        <f t="shared" si="22"/>
        <v>2553.0791859567871</v>
      </c>
      <c r="T57" s="26">
        <f t="shared" si="7"/>
        <v>99127083.043981358</v>
      </c>
      <c r="U57" s="26">
        <f t="shared" si="8"/>
        <v>99127167.910879508</v>
      </c>
      <c r="V57" s="3">
        <f t="shared" si="9"/>
        <v>19817269.386574052</v>
      </c>
      <c r="W57" s="16">
        <f t="shared" si="10"/>
        <v>7448.8888888888896</v>
      </c>
      <c r="X57" s="16">
        <f t="shared" si="11"/>
        <v>16.973379629629612</v>
      </c>
      <c r="Y57" s="26">
        <f t="shared" si="12"/>
        <v>79302364.768518418</v>
      </c>
      <c r="Z57" s="26">
        <f t="shared" si="13"/>
        <v>79302432.662036926</v>
      </c>
      <c r="AA57" s="1">
        <f t="shared" si="14"/>
        <v>84.866898148148053</v>
      </c>
    </row>
    <row r="58" spans="7:27" x14ac:dyDescent="0.25">
      <c r="G58">
        <v>49</v>
      </c>
      <c r="H58" s="21">
        <v>45323</v>
      </c>
      <c r="I58" s="16">
        <f t="shared" si="18"/>
        <v>33946.759259259263</v>
      </c>
      <c r="J58" s="16">
        <f t="shared" si="15"/>
        <v>6789.3518518518531</v>
      </c>
      <c r="K58" s="16">
        <f t="shared" si="19"/>
        <v>95122893.055555448</v>
      </c>
      <c r="L58" s="26">
        <f t="shared" si="3"/>
        <v>95163629.166666552</v>
      </c>
      <c r="M58" s="26">
        <f t="shared" si="4"/>
        <v>95163710.638888776</v>
      </c>
      <c r="N58" s="16">
        <f t="shared" si="20"/>
        <v>936930.55555555457</v>
      </c>
      <c r="O58" s="16"/>
      <c r="P58" s="16">
        <f t="shared" si="23"/>
        <v>58885600.462962784</v>
      </c>
      <c r="Q58" s="16">
        <f t="shared" si="24"/>
        <v>571275.46296296117</v>
      </c>
      <c r="R58" s="26">
        <f t="shared" si="21"/>
        <v>58919547.222222045</v>
      </c>
      <c r="S58" s="16">
        <f t="shared" si="22"/>
        <v>2450.956018518516</v>
      </c>
      <c r="T58" s="26">
        <f t="shared" si="7"/>
        <v>95163629.166666552</v>
      </c>
      <c r="U58" s="26">
        <f t="shared" si="8"/>
        <v>95163710.638888776</v>
      </c>
      <c r="V58" s="3">
        <f t="shared" si="9"/>
        <v>19024578.61111109</v>
      </c>
      <c r="W58" s="16">
        <f t="shared" si="10"/>
        <v>7448.8888888888896</v>
      </c>
      <c r="X58" s="16">
        <f t="shared" si="11"/>
        <v>16.294444444444427</v>
      </c>
      <c r="Y58" s="26">
        <f t="shared" si="12"/>
        <v>76131601.666666567</v>
      </c>
      <c r="Z58" s="26">
        <f t="shared" si="13"/>
        <v>76131666.844444349</v>
      </c>
      <c r="AA58" s="1">
        <f t="shared" si="14"/>
        <v>81.472222222222129</v>
      </c>
    </row>
    <row r="59" spans="7:27" x14ac:dyDescent="0.25">
      <c r="G59">
        <v>50</v>
      </c>
      <c r="H59" s="21">
        <v>45352</v>
      </c>
      <c r="I59" s="16">
        <f t="shared" si="18"/>
        <v>33946.759259259263</v>
      </c>
      <c r="J59" s="16">
        <f t="shared" si="15"/>
        <v>6789.3518518518531</v>
      </c>
      <c r="K59" s="16">
        <f t="shared" si="19"/>
        <v>91159439.178240642</v>
      </c>
      <c r="L59" s="26">
        <f t="shared" si="3"/>
        <v>91200175.289351746</v>
      </c>
      <c r="M59" s="26">
        <f t="shared" si="4"/>
        <v>91200253.366898045</v>
      </c>
      <c r="N59" s="16">
        <f t="shared" si="20"/>
        <v>896194.44444444356</v>
      </c>
      <c r="O59" s="16"/>
      <c r="P59" s="16">
        <f t="shared" si="23"/>
        <v>55582722.231867112</v>
      </c>
      <c r="Q59" s="16">
        <f t="shared" si="24"/>
        <v>537328.70370370196</v>
      </c>
      <c r="R59" s="26">
        <f t="shared" si="21"/>
        <v>55616668.991126373</v>
      </c>
      <c r="S59" s="16">
        <f t="shared" si="22"/>
        <v>2348.8328510802444</v>
      </c>
      <c r="T59" s="26">
        <f t="shared" si="7"/>
        <v>91200175.289351746</v>
      </c>
      <c r="U59" s="26">
        <f t="shared" si="8"/>
        <v>91200253.366898045</v>
      </c>
      <c r="V59" s="3">
        <f t="shared" si="9"/>
        <v>18231887.835648131</v>
      </c>
      <c r="W59" s="16">
        <f t="shared" si="10"/>
        <v>7448.8888888888896</v>
      </c>
      <c r="X59" s="16">
        <f t="shared" si="11"/>
        <v>15.615509259259241</v>
      </c>
      <c r="Y59" s="26">
        <f t="shared" si="12"/>
        <v>72960838.564814717</v>
      </c>
      <c r="Z59" s="26">
        <f t="shared" si="13"/>
        <v>72960901.026851758</v>
      </c>
      <c r="AA59" s="1">
        <f t="shared" si="14"/>
        <v>78.077546296296205</v>
      </c>
    </row>
    <row r="60" spans="7:27" x14ac:dyDescent="0.25">
      <c r="G60">
        <v>51</v>
      </c>
      <c r="H60" s="21">
        <v>45383</v>
      </c>
      <c r="I60" s="16">
        <f t="shared" si="18"/>
        <v>33946.759259259263</v>
      </c>
      <c r="J60" s="16">
        <f t="shared" si="15"/>
        <v>6789.3518518518531</v>
      </c>
      <c r="K60" s="16">
        <f t="shared" si="19"/>
        <v>87195985.300925836</v>
      </c>
      <c r="L60" s="26">
        <f t="shared" si="3"/>
        <v>87236721.41203694</v>
      </c>
      <c r="M60" s="26">
        <f t="shared" si="4"/>
        <v>87236796.094907314</v>
      </c>
      <c r="N60" s="16">
        <f t="shared" si="20"/>
        <v>855458.33333333256</v>
      </c>
      <c r="O60" s="16"/>
      <c r="P60" s="16">
        <f t="shared" si="23"/>
        <v>52279844.000771433</v>
      </c>
      <c r="Q60" s="16">
        <f t="shared" si="24"/>
        <v>503381.94444444269</v>
      </c>
      <c r="R60" s="26">
        <f t="shared" si="21"/>
        <v>52313790.760030694</v>
      </c>
      <c r="S60" s="16">
        <f t="shared" si="22"/>
        <v>2246.7096836419732</v>
      </c>
      <c r="T60" s="26">
        <f t="shared" si="7"/>
        <v>87236721.41203694</v>
      </c>
      <c r="U60" s="26">
        <f t="shared" si="8"/>
        <v>87236796.094907314</v>
      </c>
      <c r="V60" s="3">
        <f t="shared" si="9"/>
        <v>17439197.060185168</v>
      </c>
      <c r="W60" s="16">
        <f t="shared" si="10"/>
        <v>7448.8888888888896</v>
      </c>
      <c r="X60" s="16">
        <f t="shared" si="11"/>
        <v>14.936574074074059</v>
      </c>
      <c r="Y60" s="26">
        <f t="shared" si="12"/>
        <v>69790075.462962881</v>
      </c>
      <c r="Z60" s="26">
        <f t="shared" si="13"/>
        <v>69790135.209259182</v>
      </c>
      <c r="AA60" s="1">
        <f t="shared" si="14"/>
        <v>74.682870370370296</v>
      </c>
    </row>
    <row r="61" spans="7:27" x14ac:dyDescent="0.25">
      <c r="G61">
        <v>52</v>
      </c>
      <c r="H61" s="21">
        <v>45413</v>
      </c>
      <c r="I61" s="16">
        <f t="shared" si="18"/>
        <v>33946.759259259263</v>
      </c>
      <c r="J61" s="16">
        <f t="shared" si="15"/>
        <v>6789.3518518518531</v>
      </c>
      <c r="K61" s="16">
        <f t="shared" si="19"/>
        <v>83232531.42361103</v>
      </c>
      <c r="L61" s="26">
        <f t="shared" si="3"/>
        <v>83273267.534722134</v>
      </c>
      <c r="M61" s="26">
        <f t="shared" si="4"/>
        <v>83273338.822916582</v>
      </c>
      <c r="N61" s="16">
        <f t="shared" si="20"/>
        <v>814722.22222222155</v>
      </c>
      <c r="O61" s="16"/>
      <c r="P61" s="16">
        <f t="shared" si="23"/>
        <v>48976965.769675754</v>
      </c>
      <c r="Q61" s="16">
        <f t="shared" si="24"/>
        <v>469435.18518518342</v>
      </c>
      <c r="R61" s="26">
        <f t="shared" si="21"/>
        <v>49010912.528935015</v>
      </c>
      <c r="S61" s="16">
        <f t="shared" si="22"/>
        <v>2144.5865162037016</v>
      </c>
      <c r="T61" s="26">
        <f t="shared" si="7"/>
        <v>83273267.534722134</v>
      </c>
      <c r="U61" s="26">
        <f t="shared" si="8"/>
        <v>83273338.822916582</v>
      </c>
      <c r="V61" s="3">
        <f t="shared" si="9"/>
        <v>16646506.284722207</v>
      </c>
      <c r="W61" s="16">
        <f t="shared" si="10"/>
        <v>7448.8888888888896</v>
      </c>
      <c r="X61" s="16">
        <f t="shared" si="11"/>
        <v>14.257638888888875</v>
      </c>
      <c r="Y61" s="26">
        <f t="shared" si="12"/>
        <v>66619312.361111037</v>
      </c>
      <c r="Z61" s="26">
        <f t="shared" si="13"/>
        <v>66619369.391666591</v>
      </c>
      <c r="AA61" s="1">
        <f t="shared" si="14"/>
        <v>71.288194444444372</v>
      </c>
    </row>
    <row r="62" spans="7:27" x14ac:dyDescent="0.25">
      <c r="G62">
        <v>53</v>
      </c>
      <c r="H62" s="21">
        <v>45444</v>
      </c>
      <c r="I62" s="16">
        <f t="shared" si="18"/>
        <v>33946.759259259263</v>
      </c>
      <c r="J62" s="16">
        <f t="shared" si="15"/>
        <v>6789.3518518518531</v>
      </c>
      <c r="K62" s="16">
        <f t="shared" si="19"/>
        <v>79269077.546296239</v>
      </c>
      <c r="L62" s="26">
        <f t="shared" si="3"/>
        <v>79309813.657407343</v>
      </c>
      <c r="M62" s="26">
        <f t="shared" si="4"/>
        <v>79309881.550925866</v>
      </c>
      <c r="N62" s="16">
        <f t="shared" si="20"/>
        <v>773986.11111111054</v>
      </c>
      <c r="O62" s="16"/>
      <c r="P62" s="16">
        <f t="shared" si="23"/>
        <v>45674087.538580075</v>
      </c>
      <c r="Q62" s="16">
        <f t="shared" si="24"/>
        <v>435488.42592592415</v>
      </c>
      <c r="R62" s="26">
        <f t="shared" si="21"/>
        <v>45708034.297839336</v>
      </c>
      <c r="S62" s="16">
        <f t="shared" si="22"/>
        <v>2042.4633487654303</v>
      </c>
      <c r="T62" s="26">
        <f t="shared" si="7"/>
        <v>79309813.657407343</v>
      </c>
      <c r="U62" s="26">
        <f t="shared" si="8"/>
        <v>79309881.550925866</v>
      </c>
      <c r="V62" s="3">
        <f t="shared" si="9"/>
        <v>15853815.509259248</v>
      </c>
      <c r="W62" s="16">
        <f t="shared" si="10"/>
        <v>7448.8888888888896</v>
      </c>
      <c r="X62" s="16">
        <f t="shared" si="11"/>
        <v>13.578703703703694</v>
      </c>
      <c r="Y62" s="26">
        <f t="shared" si="12"/>
        <v>63448549.259259209</v>
      </c>
      <c r="Z62" s="26">
        <f t="shared" si="13"/>
        <v>63448603.574074022</v>
      </c>
      <c r="AA62" s="1">
        <f t="shared" si="14"/>
        <v>67.893518518518462</v>
      </c>
    </row>
    <row r="63" spans="7:27" x14ac:dyDescent="0.25">
      <c r="G63">
        <v>54</v>
      </c>
      <c r="H63" s="21">
        <v>45474</v>
      </c>
      <c r="I63" s="16">
        <f t="shared" si="18"/>
        <v>33946.759259259263</v>
      </c>
      <c r="J63" s="16">
        <f t="shared" si="15"/>
        <v>6789.3518518518531</v>
      </c>
      <c r="K63" s="16">
        <f t="shared" si="19"/>
        <v>75305623.668981433</v>
      </c>
      <c r="L63" s="26">
        <f t="shared" si="3"/>
        <v>75346359.780092537</v>
      </c>
      <c r="M63" s="26">
        <f t="shared" si="4"/>
        <v>75346424.278935134</v>
      </c>
      <c r="N63" s="16">
        <f t="shared" si="20"/>
        <v>733249.99999999953</v>
      </c>
      <c r="O63" s="16"/>
      <c r="P63" s="16">
        <f t="shared" si="23"/>
        <v>42371209.307484396</v>
      </c>
      <c r="Q63" s="16">
        <f t="shared" si="24"/>
        <v>401541.66666666488</v>
      </c>
      <c r="R63" s="26">
        <f t="shared" si="21"/>
        <v>42405156.066743657</v>
      </c>
      <c r="S63" s="16">
        <f t="shared" si="22"/>
        <v>1940.3401813271591</v>
      </c>
      <c r="T63" s="26">
        <f t="shared" si="7"/>
        <v>75346359.780092537</v>
      </c>
      <c r="U63" s="26">
        <f t="shared" si="8"/>
        <v>75346424.278935134</v>
      </c>
      <c r="V63" s="3">
        <f t="shared" si="9"/>
        <v>15061124.733796287</v>
      </c>
      <c r="W63" s="16">
        <f t="shared" si="10"/>
        <v>7448.8888888888896</v>
      </c>
      <c r="X63" s="16">
        <f t="shared" si="11"/>
        <v>12.899768518518508</v>
      </c>
      <c r="Y63" s="26">
        <f t="shared" si="12"/>
        <v>60277786.157407366</v>
      </c>
      <c r="Z63" s="26">
        <f t="shared" si="13"/>
        <v>60277837.756481439</v>
      </c>
      <c r="AA63" s="1">
        <f t="shared" si="14"/>
        <v>64.498842592592538</v>
      </c>
    </row>
    <row r="64" spans="7:27" x14ac:dyDescent="0.25">
      <c r="G64">
        <v>55</v>
      </c>
      <c r="H64" s="21">
        <v>45505</v>
      </c>
      <c r="I64" s="16">
        <f t="shared" si="18"/>
        <v>33946.759259259263</v>
      </c>
      <c r="J64" s="16">
        <f t="shared" si="15"/>
        <v>6789.3518518518531</v>
      </c>
      <c r="K64" s="16">
        <f t="shared" si="19"/>
        <v>71342169.791666627</v>
      </c>
      <c r="L64" s="26">
        <f t="shared" si="3"/>
        <v>71382905.902777731</v>
      </c>
      <c r="M64" s="26">
        <f t="shared" si="4"/>
        <v>71382967.006944403</v>
      </c>
      <c r="N64" s="16">
        <f t="shared" si="20"/>
        <v>692513.88888888853</v>
      </c>
      <c r="O64" s="16"/>
      <c r="P64" s="16">
        <f t="shared" si="23"/>
        <v>39068331.076388717</v>
      </c>
      <c r="Q64" s="16">
        <f t="shared" si="24"/>
        <v>367594.90740740561</v>
      </c>
      <c r="R64" s="26">
        <f t="shared" si="21"/>
        <v>39102277.835647978</v>
      </c>
      <c r="S64" s="16">
        <f t="shared" si="22"/>
        <v>1838.2170138888878</v>
      </c>
      <c r="T64" s="26">
        <f t="shared" si="7"/>
        <v>71382905.902777731</v>
      </c>
      <c r="U64" s="26">
        <f t="shared" si="8"/>
        <v>71382967.006944403</v>
      </c>
      <c r="V64" s="3">
        <f t="shared" si="9"/>
        <v>14268433.958333327</v>
      </c>
      <c r="W64" s="16">
        <f t="shared" si="10"/>
        <v>7448.8888888888896</v>
      </c>
      <c r="X64" s="16">
        <f t="shared" si="11"/>
        <v>12.220833333333326</v>
      </c>
      <c r="Y64" s="26">
        <f t="shared" si="12"/>
        <v>57107023.055555515</v>
      </c>
      <c r="Z64" s="26">
        <f t="shared" si="13"/>
        <v>57107071.938888848</v>
      </c>
      <c r="AA64" s="1">
        <f t="shared" si="14"/>
        <v>61.104166666666629</v>
      </c>
    </row>
    <row r="65" spans="7:27" x14ac:dyDescent="0.25">
      <c r="G65">
        <v>56</v>
      </c>
      <c r="H65" s="21">
        <v>45536</v>
      </c>
      <c r="I65" s="16">
        <f t="shared" si="18"/>
        <v>33946.759259259263</v>
      </c>
      <c r="J65" s="16">
        <f t="shared" si="15"/>
        <v>6789.3518518518531</v>
      </c>
      <c r="K65" s="16">
        <f t="shared" si="19"/>
        <v>67378715.914351821</v>
      </c>
      <c r="L65" s="26">
        <f t="shared" si="3"/>
        <v>67419452.025462925</v>
      </c>
      <c r="M65" s="26">
        <f t="shared" si="4"/>
        <v>67419509.734953672</v>
      </c>
      <c r="N65" s="16">
        <f t="shared" si="20"/>
        <v>651777.77777777752</v>
      </c>
      <c r="O65" s="16"/>
      <c r="P65" s="16">
        <f t="shared" si="23"/>
        <v>35765452.845293038</v>
      </c>
      <c r="Q65" s="16">
        <f t="shared" si="24"/>
        <v>333648.14814814634</v>
      </c>
      <c r="R65" s="26">
        <f t="shared" si="21"/>
        <v>35799399.604552299</v>
      </c>
      <c r="S65" s="16">
        <f t="shared" si="22"/>
        <v>1736.0938464506164</v>
      </c>
      <c r="T65" s="26">
        <f t="shared" si="7"/>
        <v>67419452.025462925</v>
      </c>
      <c r="U65" s="26">
        <f t="shared" si="8"/>
        <v>67419509.734953672</v>
      </c>
      <c r="V65" s="3">
        <f t="shared" si="9"/>
        <v>13475743.182870366</v>
      </c>
      <c r="W65" s="16">
        <f t="shared" si="10"/>
        <v>7448.8888888888896</v>
      </c>
      <c r="X65" s="16">
        <f t="shared" si="11"/>
        <v>11.541898148148142</v>
      </c>
      <c r="Y65" s="26">
        <f t="shared" si="12"/>
        <v>53936259.953703672</v>
      </c>
      <c r="Z65" s="26">
        <f t="shared" si="13"/>
        <v>53936306.121296264</v>
      </c>
      <c r="AA65" s="1">
        <f t="shared" si="14"/>
        <v>57.709490740740712</v>
      </c>
    </row>
    <row r="66" spans="7:27" x14ac:dyDescent="0.25">
      <c r="G66">
        <v>57</v>
      </c>
      <c r="H66" s="21">
        <v>45566</v>
      </c>
      <c r="I66" s="16">
        <f t="shared" si="18"/>
        <v>33946.759259259263</v>
      </c>
      <c r="J66" s="16">
        <f t="shared" si="15"/>
        <v>6789.3518518518531</v>
      </c>
      <c r="K66" s="16">
        <f t="shared" si="19"/>
        <v>63415262.037037015</v>
      </c>
      <c r="L66" s="26">
        <f t="shared" si="3"/>
        <v>63455998.148148127</v>
      </c>
      <c r="M66" s="26">
        <f t="shared" si="4"/>
        <v>63456052.46296294</v>
      </c>
      <c r="N66" s="16">
        <f t="shared" si="20"/>
        <v>611041.66666666651</v>
      </c>
      <c r="O66" s="16"/>
      <c r="P66" s="16">
        <f t="shared" si="23"/>
        <v>32462574.614197355</v>
      </c>
      <c r="Q66" s="16">
        <f t="shared" si="24"/>
        <v>299701.38888888707</v>
      </c>
      <c r="R66" s="26">
        <f t="shared" si="21"/>
        <v>32496521.373456612</v>
      </c>
      <c r="S66" s="16">
        <f t="shared" si="22"/>
        <v>1633.9706790123448</v>
      </c>
      <c r="T66" s="26">
        <f t="shared" si="7"/>
        <v>63455998.148148127</v>
      </c>
      <c r="U66" s="26">
        <f t="shared" si="8"/>
        <v>63456052.46296294</v>
      </c>
      <c r="V66" s="3">
        <f t="shared" si="9"/>
        <v>12683052.407407403</v>
      </c>
      <c r="W66" s="16">
        <f t="shared" si="10"/>
        <v>7448.8888888888896</v>
      </c>
      <c r="X66" s="16">
        <f t="shared" si="11"/>
        <v>10.862962962962959</v>
      </c>
      <c r="Y66" s="26">
        <f t="shared" si="12"/>
        <v>50765496.851851836</v>
      </c>
      <c r="Z66" s="26">
        <f t="shared" si="13"/>
        <v>50765540.303703688</v>
      </c>
      <c r="AA66" s="1">
        <f t="shared" si="14"/>
        <v>54.314814814814788</v>
      </c>
    </row>
    <row r="67" spans="7:27" x14ac:dyDescent="0.25">
      <c r="G67">
        <v>58</v>
      </c>
      <c r="H67" s="21">
        <v>45597</v>
      </c>
      <c r="I67" s="16">
        <f t="shared" si="18"/>
        <v>33946.759259259263</v>
      </c>
      <c r="J67" s="16">
        <f t="shared" si="15"/>
        <v>6789.3518518518531</v>
      </c>
      <c r="K67" s="16">
        <f t="shared" si="19"/>
        <v>59451808.159722209</v>
      </c>
      <c r="L67" s="26">
        <f t="shared" si="3"/>
        <v>59492544.270833321</v>
      </c>
      <c r="M67" s="26">
        <f t="shared" si="4"/>
        <v>59492595.190972209</v>
      </c>
      <c r="N67" s="16">
        <f t="shared" si="20"/>
        <v>570305.5555555555</v>
      </c>
      <c r="O67" s="16"/>
      <c r="P67" s="16">
        <f t="shared" si="23"/>
        <v>29159696.383101676</v>
      </c>
      <c r="Q67" s="16">
        <f t="shared" si="24"/>
        <v>265754.6296296278</v>
      </c>
      <c r="R67" s="26">
        <f t="shared" si="21"/>
        <v>29193643.142360933</v>
      </c>
      <c r="S67" s="16">
        <f t="shared" si="22"/>
        <v>1531.8475115740737</v>
      </c>
      <c r="T67" s="26">
        <f t="shared" si="7"/>
        <v>59492544.270833321</v>
      </c>
      <c r="U67" s="26">
        <f t="shared" si="8"/>
        <v>59492595.190972209</v>
      </c>
      <c r="V67" s="3">
        <f t="shared" si="9"/>
        <v>11890361.631944442</v>
      </c>
      <c r="W67" s="16">
        <f t="shared" si="10"/>
        <v>7448.8888888888896</v>
      </c>
      <c r="X67" s="16">
        <f t="shared" si="11"/>
        <v>10.184027777777775</v>
      </c>
      <c r="Y67" s="26">
        <f t="shared" si="12"/>
        <v>47594733.749999993</v>
      </c>
      <c r="Z67" s="26">
        <f t="shared" si="13"/>
        <v>47594774.486111104</v>
      </c>
      <c r="AA67" s="1">
        <f t="shared" si="14"/>
        <v>50.920138888888872</v>
      </c>
    </row>
    <row r="68" spans="7:27" x14ac:dyDescent="0.25">
      <c r="G68">
        <v>59</v>
      </c>
      <c r="H68" s="21">
        <v>45627</v>
      </c>
      <c r="I68" s="16">
        <f t="shared" si="18"/>
        <v>33946.759259259263</v>
      </c>
      <c r="J68" s="16">
        <f t="shared" si="15"/>
        <v>6789.3518518518531</v>
      </c>
      <c r="K68" s="16">
        <f t="shared" si="19"/>
        <v>55488354.282407403</v>
      </c>
      <c r="L68" s="26">
        <f t="shared" si="3"/>
        <v>55529090.393518515</v>
      </c>
      <c r="M68" s="26">
        <f t="shared" si="4"/>
        <v>55529137.918981478</v>
      </c>
      <c r="N68" s="16">
        <f t="shared" si="20"/>
        <v>529569.4444444445</v>
      </c>
      <c r="O68" s="16"/>
      <c r="P68" s="16">
        <f t="shared" si="23"/>
        <v>25856818.152005997</v>
      </c>
      <c r="Q68" s="16">
        <f t="shared" si="24"/>
        <v>231807.87037036853</v>
      </c>
      <c r="R68" s="26">
        <f t="shared" si="21"/>
        <v>25890764.911265254</v>
      </c>
      <c r="S68" s="16">
        <f t="shared" si="22"/>
        <v>1429.7243441358023</v>
      </c>
      <c r="T68" s="26">
        <f t="shared" si="7"/>
        <v>55529090.393518515</v>
      </c>
      <c r="U68" s="26">
        <f t="shared" si="8"/>
        <v>55529137.918981478</v>
      </c>
      <c r="V68" s="3">
        <f t="shared" si="9"/>
        <v>11097670.856481481</v>
      </c>
      <c r="W68" s="16">
        <f t="shared" si="10"/>
        <v>7448.8888888888896</v>
      </c>
      <c r="X68" s="16">
        <f t="shared" si="11"/>
        <v>9.5050925925925913</v>
      </c>
      <c r="Y68" s="26">
        <f t="shared" si="12"/>
        <v>44423970.648148142</v>
      </c>
      <c r="Z68" s="26">
        <f t="shared" si="13"/>
        <v>44424008.668518513</v>
      </c>
      <c r="AA68" s="1">
        <f t="shared" si="14"/>
        <v>47.525462962962955</v>
      </c>
    </row>
    <row r="69" spans="7:27" x14ac:dyDescent="0.25">
      <c r="G69">
        <v>60</v>
      </c>
      <c r="H69" s="21">
        <v>45658</v>
      </c>
      <c r="I69" s="16">
        <f t="shared" si="18"/>
        <v>33946.759259259263</v>
      </c>
      <c r="J69" s="16">
        <f t="shared" si="15"/>
        <v>6789.3518518518531</v>
      </c>
      <c r="K69" s="16">
        <f t="shared" si="19"/>
        <v>51524900.405092597</v>
      </c>
      <c r="L69" s="26">
        <f t="shared" si="3"/>
        <v>51565636.516203709</v>
      </c>
      <c r="M69" s="26">
        <f t="shared" si="4"/>
        <v>51565680.646990746</v>
      </c>
      <c r="N69" s="16">
        <f t="shared" si="20"/>
        <v>488833.33333333337</v>
      </c>
      <c r="O69" s="16"/>
      <c r="P69" s="16">
        <f t="shared" si="23"/>
        <v>22553939.920910314</v>
      </c>
      <c r="Q69" s="16">
        <f t="shared" si="24"/>
        <v>197861.11111110926</v>
      </c>
      <c r="R69" s="26">
        <f t="shared" si="21"/>
        <v>22587886.680169571</v>
      </c>
      <c r="S69" s="16">
        <f t="shared" si="22"/>
        <v>1327.6011766975309</v>
      </c>
      <c r="T69" s="26">
        <f t="shared" si="7"/>
        <v>51565636.516203709</v>
      </c>
      <c r="U69" s="26">
        <f t="shared" si="8"/>
        <v>51565680.646990746</v>
      </c>
      <c r="V69" s="3">
        <f t="shared" si="9"/>
        <v>10304980.081018521</v>
      </c>
      <c r="W69" s="16">
        <f t="shared" si="10"/>
        <v>7448.8888888888896</v>
      </c>
      <c r="X69" s="16">
        <f t="shared" si="11"/>
        <v>8.8261574074074076</v>
      </c>
      <c r="Y69" s="26">
        <f t="shared" si="12"/>
        <v>41253207.546296299</v>
      </c>
      <c r="Z69" s="26">
        <f t="shared" si="13"/>
        <v>41253242.85092593</v>
      </c>
      <c r="AA69" s="1">
        <f t="shared" si="14"/>
        <v>44.130787037037038</v>
      </c>
    </row>
    <row r="70" spans="7:27" x14ac:dyDescent="0.25">
      <c r="G70">
        <v>61</v>
      </c>
      <c r="H70" s="21">
        <v>45689</v>
      </c>
      <c r="I70" s="16">
        <f t="shared" si="18"/>
        <v>33946.759259259263</v>
      </c>
      <c r="J70" s="16">
        <f t="shared" si="15"/>
        <v>6789.3518518518531</v>
      </c>
      <c r="K70" s="16">
        <f t="shared" si="19"/>
        <v>47561446.527777784</v>
      </c>
      <c r="L70" s="26">
        <f t="shared" si="3"/>
        <v>47602182.638888896</v>
      </c>
      <c r="M70" s="26">
        <f t="shared" si="4"/>
        <v>47602223.375000007</v>
      </c>
      <c r="N70" s="16">
        <f t="shared" si="20"/>
        <v>448097.22222222225</v>
      </c>
      <c r="O70" s="16"/>
      <c r="P70" s="16">
        <f t="shared" si="23"/>
        <v>19251061.689814635</v>
      </c>
      <c r="Q70" s="16">
        <f t="shared" si="24"/>
        <v>163914.35185184999</v>
      </c>
      <c r="R70" s="26">
        <f t="shared" si="21"/>
        <v>19285008.449073892</v>
      </c>
      <c r="S70" s="16">
        <f t="shared" si="22"/>
        <v>1225.4780092592594</v>
      </c>
      <c r="T70" s="26">
        <f t="shared" si="7"/>
        <v>47602182.638888896</v>
      </c>
      <c r="U70" s="26">
        <f t="shared" si="8"/>
        <v>47602223.375000007</v>
      </c>
      <c r="V70" s="3">
        <f t="shared" si="9"/>
        <v>9512289.3055555578</v>
      </c>
      <c r="W70" s="16">
        <f t="shared" si="10"/>
        <v>0</v>
      </c>
      <c r="X70" s="16">
        <f t="shared" si="11"/>
        <v>8.1472222222222239</v>
      </c>
      <c r="Y70" s="26">
        <f t="shared" si="12"/>
        <v>38089893.333333336</v>
      </c>
      <c r="Z70" s="26">
        <f t="shared" si="13"/>
        <v>38089925.922222227</v>
      </c>
      <c r="AA70" s="1">
        <f t="shared" si="14"/>
        <v>40.736111111111114</v>
      </c>
    </row>
    <row r="71" spans="7:27" x14ac:dyDescent="0.25">
      <c r="G71">
        <v>62</v>
      </c>
      <c r="H71" s="21">
        <v>45717</v>
      </c>
      <c r="I71" s="16">
        <f t="shared" si="18"/>
        <v>33946.759259259263</v>
      </c>
      <c r="J71" s="16">
        <f t="shared" si="15"/>
        <v>6789.3518518518531</v>
      </c>
      <c r="K71" s="16">
        <f t="shared" si="19"/>
        <v>43597992.650462963</v>
      </c>
      <c r="L71" s="26">
        <f t="shared" si="3"/>
        <v>43638728.761574075</v>
      </c>
      <c r="M71" s="26">
        <f t="shared" si="4"/>
        <v>43638766.103009261</v>
      </c>
      <c r="N71" s="16">
        <f t="shared" si="20"/>
        <v>407361.11111111112</v>
      </c>
      <c r="O71" s="16"/>
      <c r="P71" s="16">
        <f t="shared" si="23"/>
        <v>15948183.458718956</v>
      </c>
      <c r="Q71" s="16">
        <f t="shared" si="24"/>
        <v>129967.59259259072</v>
      </c>
      <c r="R71" s="26">
        <f t="shared" si="21"/>
        <v>15982130.217978215</v>
      </c>
      <c r="S71" s="16">
        <f t="shared" si="22"/>
        <v>1123.3548418209878</v>
      </c>
      <c r="T71" s="26">
        <f t="shared" si="7"/>
        <v>43638728.761574075</v>
      </c>
      <c r="U71" s="26">
        <f t="shared" si="8"/>
        <v>43638766.103009261</v>
      </c>
      <c r="V71" s="3">
        <f t="shared" si="9"/>
        <v>8719598.5300925933</v>
      </c>
      <c r="W71" s="16">
        <f t="shared" si="10"/>
        <v>0</v>
      </c>
      <c r="X71" s="16">
        <f t="shared" si="11"/>
        <v>7.4682870370370367</v>
      </c>
      <c r="Y71" s="26">
        <f t="shared" si="12"/>
        <v>34919130.231481478</v>
      </c>
      <c r="Z71" s="26">
        <f t="shared" si="13"/>
        <v>34919160.104629636</v>
      </c>
      <c r="AA71" s="1">
        <f t="shared" si="14"/>
        <v>37.341435185185183</v>
      </c>
    </row>
    <row r="72" spans="7:27" x14ac:dyDescent="0.25">
      <c r="G72">
        <v>63</v>
      </c>
      <c r="H72" s="21">
        <v>45748</v>
      </c>
      <c r="I72" s="16">
        <f t="shared" si="18"/>
        <v>33946.759259259263</v>
      </c>
      <c r="J72" s="16">
        <f t="shared" si="15"/>
        <v>6789.3518518518531</v>
      </c>
      <c r="K72" s="16">
        <f t="shared" si="19"/>
        <v>39634538.773148149</v>
      </c>
      <c r="L72" s="26">
        <f t="shared" si="3"/>
        <v>39675274.884259261</v>
      </c>
      <c r="M72" s="26">
        <f t="shared" si="4"/>
        <v>39675308.831018522</v>
      </c>
      <c r="N72" s="16">
        <f t="shared" si="20"/>
        <v>366625</v>
      </c>
      <c r="O72" s="16"/>
      <c r="P72" s="16">
        <f t="shared" si="23"/>
        <v>12645305.227623275</v>
      </c>
      <c r="Q72" s="16">
        <f t="shared" si="24"/>
        <v>96020.833333331451</v>
      </c>
      <c r="R72" s="26">
        <f t="shared" si="21"/>
        <v>12679251.986882534</v>
      </c>
      <c r="S72" s="16">
        <f t="shared" si="22"/>
        <v>1021.2316743827161</v>
      </c>
      <c r="T72" s="26">
        <f t="shared" si="7"/>
        <v>39675274.884259261</v>
      </c>
      <c r="U72" s="26">
        <f t="shared" si="8"/>
        <v>39675308.831018522</v>
      </c>
      <c r="V72" s="3">
        <f t="shared" si="9"/>
        <v>7926907.7546296306</v>
      </c>
      <c r="W72" s="16">
        <f t="shared" si="10"/>
        <v>0</v>
      </c>
      <c r="X72" s="16">
        <f t="shared" si="11"/>
        <v>6.7893518518518521</v>
      </c>
      <c r="Y72" s="26">
        <f t="shared" si="12"/>
        <v>31748367.129629631</v>
      </c>
      <c r="Z72" s="26">
        <f t="shared" si="13"/>
        <v>31748394.287037041</v>
      </c>
      <c r="AA72" s="1">
        <f t="shared" si="14"/>
        <v>33.94675925925926</v>
      </c>
    </row>
    <row r="73" spans="7:27" x14ac:dyDescent="0.25">
      <c r="G73">
        <v>64</v>
      </c>
      <c r="H73" s="21">
        <v>45778</v>
      </c>
      <c r="I73" s="16">
        <f t="shared" si="18"/>
        <v>33946.759259259263</v>
      </c>
      <c r="J73" s="16">
        <f t="shared" si="15"/>
        <v>6789.3518518518531</v>
      </c>
      <c r="K73" s="16">
        <f t="shared" si="19"/>
        <v>35671084.895833336</v>
      </c>
      <c r="L73" s="26">
        <f t="shared" si="3"/>
        <v>35711821.006944448</v>
      </c>
      <c r="M73" s="26">
        <f t="shared" si="4"/>
        <v>35711851.559027784</v>
      </c>
      <c r="N73" s="16">
        <f t="shared" si="20"/>
        <v>325888.88888888888</v>
      </c>
      <c r="O73" s="16"/>
      <c r="P73" s="16">
        <f t="shared" si="23"/>
        <v>9342426.9965275954</v>
      </c>
      <c r="Q73" s="16">
        <f t="shared" si="24"/>
        <v>62074.074074072189</v>
      </c>
      <c r="R73" s="26">
        <f t="shared" si="21"/>
        <v>9376373.7557868548</v>
      </c>
      <c r="S73" s="16">
        <f t="shared" si="22"/>
        <v>919.10850694444446</v>
      </c>
      <c r="T73" s="26">
        <f t="shared" si="7"/>
        <v>35711821.006944448</v>
      </c>
      <c r="U73" s="26">
        <f t="shared" si="8"/>
        <v>35711851.559027784</v>
      </c>
      <c r="V73" s="3">
        <f t="shared" si="9"/>
        <v>7134216.9791666679</v>
      </c>
      <c r="W73" s="16">
        <f t="shared" si="10"/>
        <v>0</v>
      </c>
      <c r="X73" s="16">
        <f t="shared" si="11"/>
        <v>6.1104166666666666</v>
      </c>
      <c r="Y73" s="26">
        <f t="shared" si="12"/>
        <v>28577604.02777778</v>
      </c>
      <c r="Z73" s="26">
        <f t="shared" si="13"/>
        <v>28577628.46944445</v>
      </c>
      <c r="AA73" s="1">
        <f t="shared" si="14"/>
        <v>30.552083333333332</v>
      </c>
    </row>
    <row r="74" spans="7:27" x14ac:dyDescent="0.25">
      <c r="G74">
        <v>65</v>
      </c>
      <c r="H74" s="21">
        <v>45809</v>
      </c>
      <c r="I74" s="16">
        <f t="shared" ref="I74:I105" si="25">IF(G74&lt;=$D$14,$N$9/$D$14*1/(1+$D$20),0)</f>
        <v>33946.759259259263</v>
      </c>
      <c r="J74" s="16">
        <f t="shared" si="15"/>
        <v>6789.3518518518531</v>
      </c>
      <c r="K74" s="16">
        <f t="shared" ref="K74:K105" si="26">IF(G74&lt;=$D$14,N73*$D$17,0)</f>
        <v>31707631.018518519</v>
      </c>
      <c r="L74" s="26">
        <f t="shared" si="3"/>
        <v>31748367.129629631</v>
      </c>
      <c r="M74" s="26">
        <f t="shared" si="4"/>
        <v>31748394.287037037</v>
      </c>
      <c r="N74" s="16">
        <f t="shared" ref="N74:N105" si="27">IF(G74&lt;=$D$14,N73-I74-J74,0)</f>
        <v>285152.77777777775</v>
      </c>
      <c r="O74" s="16"/>
      <c r="P74" s="16">
        <f t="shared" si="23"/>
        <v>6039548.7654319154</v>
      </c>
      <c r="Q74" s="16">
        <f t="shared" si="24"/>
        <v>28127.314814812926</v>
      </c>
      <c r="R74" s="26">
        <f t="shared" ref="R74:R105" si="28">IF(G74&lt;=$D$14,I74+P74,0)</f>
        <v>6073495.5246911747</v>
      </c>
      <c r="S74" s="16">
        <f t="shared" ref="S74:S105" si="29">IF(G74&lt;=$D$14,IF($D$37="льготное",K74,N73*($D$24+3%)/12),0)</f>
        <v>816.98533950617275</v>
      </c>
      <c r="T74" s="26">
        <f t="shared" si="7"/>
        <v>31748367.129629631</v>
      </c>
      <c r="U74" s="26">
        <f t="shared" si="8"/>
        <v>31748394.287037037</v>
      </c>
      <c r="V74" s="3">
        <f t="shared" si="9"/>
        <v>6341526.2037037043</v>
      </c>
      <c r="W74" s="16">
        <f t="shared" si="10"/>
        <v>0</v>
      </c>
      <c r="X74" s="16">
        <f t="shared" si="11"/>
        <v>5.4314814814814811</v>
      </c>
      <c r="Y74" s="26">
        <f t="shared" si="12"/>
        <v>25406840.925925925</v>
      </c>
      <c r="Z74" s="26">
        <f t="shared" si="13"/>
        <v>25406862.651851851</v>
      </c>
      <c r="AA74" s="1">
        <f t="shared" si="14"/>
        <v>27.157407407407405</v>
      </c>
    </row>
    <row r="75" spans="7:27" x14ac:dyDescent="0.25">
      <c r="G75">
        <v>66</v>
      </c>
      <c r="H75" s="21">
        <v>45839</v>
      </c>
      <c r="I75" s="16">
        <f t="shared" si="25"/>
        <v>33946.759259259263</v>
      </c>
      <c r="J75" s="16">
        <f t="shared" ref="J75:J138" si="30">IF(G75&lt;=$D$14,I75*$D$20,0)</f>
        <v>6789.3518518518531</v>
      </c>
      <c r="K75" s="16">
        <f t="shared" si="26"/>
        <v>27744177.141203701</v>
      </c>
      <c r="L75" s="26">
        <f t="shared" ref="L75:L138" si="31">IF(G75&lt;=$D$14,SUM(I75:K75),0)</f>
        <v>27784913.252314813</v>
      </c>
      <c r="M75" s="26">
        <f t="shared" ref="M75:M138" si="32">L75+AA75</f>
        <v>27784937.015046295</v>
      </c>
      <c r="N75" s="16">
        <f t="shared" si="27"/>
        <v>244416.66666666663</v>
      </c>
      <c r="O75" s="16"/>
      <c r="P75" s="16">
        <f t="shared" ref="P75:P106" si="33">IF(G74&lt;=$D$14,Q74*$D$17,0)</f>
        <v>2736670.5343362358</v>
      </c>
      <c r="Q75" s="16">
        <f t="shared" ref="Q75:Q106" si="34">IF(G74&lt;=$D$14,Q74-I75,0)</f>
        <v>-5819.444444446337</v>
      </c>
      <c r="R75" s="26">
        <f t="shared" si="28"/>
        <v>2770617.2935954952</v>
      </c>
      <c r="S75" s="16">
        <f t="shared" si="29"/>
        <v>714.86217206790116</v>
      </c>
      <c r="T75" s="26">
        <f t="shared" ref="T75:T138" si="35">L75</f>
        <v>27784913.252314813</v>
      </c>
      <c r="U75" s="26">
        <f t="shared" ref="U75:U138" si="36">M75</f>
        <v>27784937.015046295</v>
      </c>
      <c r="V75" s="3">
        <f t="shared" ref="V75:V138" si="37">IF($D$38="да",K75*$D$23,0)</f>
        <v>5548835.4282407407</v>
      </c>
      <c r="W75" s="16">
        <f t="shared" ref="W75:W138" si="38">IF($D$38="да",IF(G75&lt;=$D$21,(-$R$9)/$D$21*$D$23,0),0)</f>
        <v>0</v>
      </c>
      <c r="X75" s="16">
        <f t="shared" ref="X75:X138" si="39">IF($D$38="да",IF(G75&lt;=$D$14,AA75*$D$23,0),0)</f>
        <v>4.7525462962962957</v>
      </c>
      <c r="Y75" s="26">
        <f t="shared" ref="Y75:Y138" si="40">T75-V75-W75</f>
        <v>22236077.824074075</v>
      </c>
      <c r="Z75" s="26">
        <f t="shared" ref="Z75:Z138" si="41">U75-W75-X75-V75</f>
        <v>22236096.834259257</v>
      </c>
      <c r="AA75" s="1">
        <f t="shared" ref="AA75:AA138" si="42">IF(G75&lt;=$D$14,N74*$D$24,0)</f>
        <v>23.762731481481477</v>
      </c>
    </row>
    <row r="76" spans="7:27" x14ac:dyDescent="0.25">
      <c r="G76">
        <v>67</v>
      </c>
      <c r="H76" s="21">
        <v>45870</v>
      </c>
      <c r="I76" s="16">
        <f t="shared" si="25"/>
        <v>33946.759259259263</v>
      </c>
      <c r="J76" s="16">
        <f t="shared" si="30"/>
        <v>6789.3518518518531</v>
      </c>
      <c r="K76" s="16">
        <f t="shared" si="26"/>
        <v>23780723.263888884</v>
      </c>
      <c r="L76" s="26">
        <f t="shared" si="31"/>
        <v>23821459.374999996</v>
      </c>
      <c r="M76" s="26">
        <f t="shared" si="32"/>
        <v>23821479.743055552</v>
      </c>
      <c r="N76" s="16">
        <f t="shared" si="27"/>
        <v>203680.5555555555</v>
      </c>
      <c r="O76" s="16"/>
      <c r="P76" s="16">
        <f t="shared" si="33"/>
        <v>-566207.69675944338</v>
      </c>
      <c r="Q76" s="16">
        <f t="shared" si="34"/>
        <v>-39766.2037037056</v>
      </c>
      <c r="R76" s="26">
        <f t="shared" si="28"/>
        <v>-532260.93750018417</v>
      </c>
      <c r="S76" s="16">
        <f t="shared" si="29"/>
        <v>612.73900462962956</v>
      </c>
      <c r="T76" s="26">
        <f t="shared" si="35"/>
        <v>23821459.374999996</v>
      </c>
      <c r="U76" s="26">
        <f t="shared" si="36"/>
        <v>23821479.743055552</v>
      </c>
      <c r="V76" s="3">
        <f t="shared" si="37"/>
        <v>4756144.6527777771</v>
      </c>
      <c r="W76" s="16">
        <f t="shared" si="38"/>
        <v>0</v>
      </c>
      <c r="X76" s="16">
        <f t="shared" si="39"/>
        <v>4.0736111111111102</v>
      </c>
      <c r="Y76" s="26">
        <f t="shared" si="40"/>
        <v>19065314.72222222</v>
      </c>
      <c r="Z76" s="26">
        <f t="shared" si="41"/>
        <v>19065331.016666666</v>
      </c>
      <c r="AA76" s="1">
        <f t="shared" si="42"/>
        <v>20.36805555555555</v>
      </c>
    </row>
    <row r="77" spans="7:27" x14ac:dyDescent="0.25">
      <c r="G77">
        <v>68</v>
      </c>
      <c r="H77" s="21">
        <v>45901</v>
      </c>
      <c r="I77" s="16">
        <f t="shared" si="25"/>
        <v>33946.759259259263</v>
      </c>
      <c r="J77" s="16">
        <f t="shared" si="30"/>
        <v>6789.3518518518531</v>
      </c>
      <c r="K77" s="16">
        <f t="shared" si="26"/>
        <v>19817269.386574071</v>
      </c>
      <c r="L77" s="26">
        <f t="shared" si="31"/>
        <v>19858005.497685183</v>
      </c>
      <c r="M77" s="26">
        <f t="shared" si="32"/>
        <v>19858022.471064813</v>
      </c>
      <c r="N77" s="16">
        <f t="shared" si="27"/>
        <v>162944.44444444438</v>
      </c>
      <c r="O77" s="16"/>
      <c r="P77" s="16">
        <f t="shared" si="33"/>
        <v>-3869085.9278551228</v>
      </c>
      <c r="Q77" s="16">
        <f t="shared" si="34"/>
        <v>-73712.96296296487</v>
      </c>
      <c r="R77" s="26">
        <f t="shared" si="28"/>
        <v>-3835139.1685958635</v>
      </c>
      <c r="S77" s="16">
        <f t="shared" si="29"/>
        <v>510.61583719135791</v>
      </c>
      <c r="T77" s="26">
        <f t="shared" si="35"/>
        <v>19858005.497685183</v>
      </c>
      <c r="U77" s="26">
        <f t="shared" si="36"/>
        <v>19858022.471064813</v>
      </c>
      <c r="V77" s="3">
        <f t="shared" si="37"/>
        <v>3963453.8773148144</v>
      </c>
      <c r="W77" s="16">
        <f t="shared" si="38"/>
        <v>0</v>
      </c>
      <c r="X77" s="16">
        <f t="shared" si="39"/>
        <v>3.3946759259259256</v>
      </c>
      <c r="Y77" s="26">
        <f t="shared" si="40"/>
        <v>15894551.620370369</v>
      </c>
      <c r="Z77" s="26">
        <f t="shared" si="41"/>
        <v>15894565.199074075</v>
      </c>
      <c r="AA77" s="1">
        <f t="shared" si="42"/>
        <v>16.973379629629626</v>
      </c>
    </row>
    <row r="78" spans="7:27" x14ac:dyDescent="0.25">
      <c r="G78">
        <v>69</v>
      </c>
      <c r="H78" s="21">
        <v>45931</v>
      </c>
      <c r="I78" s="16">
        <f t="shared" si="25"/>
        <v>33946.759259259263</v>
      </c>
      <c r="J78" s="16">
        <f t="shared" si="30"/>
        <v>6789.3518518518531</v>
      </c>
      <c r="K78" s="16">
        <f t="shared" si="26"/>
        <v>15853815.509259254</v>
      </c>
      <c r="L78" s="26">
        <f t="shared" si="31"/>
        <v>15894551.620370366</v>
      </c>
      <c r="M78" s="26">
        <f t="shared" si="32"/>
        <v>15894565.199074069</v>
      </c>
      <c r="N78" s="16">
        <f t="shared" si="27"/>
        <v>122208.33333333326</v>
      </c>
      <c r="O78" s="16"/>
      <c r="P78" s="16">
        <f t="shared" si="33"/>
        <v>-7171964.1589508029</v>
      </c>
      <c r="Q78" s="16">
        <f t="shared" si="34"/>
        <v>-107659.72222222414</v>
      </c>
      <c r="R78" s="26">
        <f t="shared" si="28"/>
        <v>-7138017.3996915435</v>
      </c>
      <c r="S78" s="16">
        <f t="shared" si="29"/>
        <v>408.4926697530862</v>
      </c>
      <c r="T78" s="26">
        <f t="shared" si="35"/>
        <v>15894551.620370366</v>
      </c>
      <c r="U78" s="26">
        <f t="shared" si="36"/>
        <v>15894565.199074069</v>
      </c>
      <c r="V78" s="3">
        <f t="shared" si="37"/>
        <v>3170763.1018518507</v>
      </c>
      <c r="W78" s="16">
        <f t="shared" si="38"/>
        <v>0</v>
      </c>
      <c r="X78" s="16">
        <f t="shared" si="39"/>
        <v>2.7157407407407397</v>
      </c>
      <c r="Y78" s="26">
        <f t="shared" si="40"/>
        <v>12723788.518518515</v>
      </c>
      <c r="Z78" s="26">
        <f t="shared" si="41"/>
        <v>12723799.381481478</v>
      </c>
      <c r="AA78" s="1">
        <f t="shared" si="42"/>
        <v>13.578703703703697</v>
      </c>
    </row>
    <row r="79" spans="7:27" x14ac:dyDescent="0.25">
      <c r="G79">
        <v>70</v>
      </c>
      <c r="H79" s="21">
        <v>45962</v>
      </c>
      <c r="I79" s="16">
        <f t="shared" si="25"/>
        <v>33946.759259259263</v>
      </c>
      <c r="J79" s="16">
        <f t="shared" si="30"/>
        <v>6789.3518518518531</v>
      </c>
      <c r="K79" s="16">
        <f t="shared" si="26"/>
        <v>11890361.631944437</v>
      </c>
      <c r="L79" s="26">
        <f t="shared" si="31"/>
        <v>11931097.743055549</v>
      </c>
      <c r="M79" s="26">
        <f t="shared" si="32"/>
        <v>11931107.927083327</v>
      </c>
      <c r="N79" s="16">
        <f t="shared" si="27"/>
        <v>81472.222222222132</v>
      </c>
      <c r="O79" s="16"/>
      <c r="P79" s="16">
        <f t="shared" si="33"/>
        <v>-10474842.390046483</v>
      </c>
      <c r="Q79" s="16">
        <f t="shared" si="34"/>
        <v>-141606.48148148341</v>
      </c>
      <c r="R79" s="26">
        <f t="shared" si="28"/>
        <v>-10440895.630787224</v>
      </c>
      <c r="S79" s="16">
        <f t="shared" si="29"/>
        <v>306.36950231481461</v>
      </c>
      <c r="T79" s="26">
        <f t="shared" si="35"/>
        <v>11931097.743055549</v>
      </c>
      <c r="U79" s="26">
        <f t="shared" si="36"/>
        <v>11931107.927083327</v>
      </c>
      <c r="V79" s="3">
        <f t="shared" si="37"/>
        <v>2378072.3263888876</v>
      </c>
      <c r="W79" s="16">
        <f t="shared" si="38"/>
        <v>0</v>
      </c>
      <c r="X79" s="16">
        <f t="shared" si="39"/>
        <v>2.0368055555555542</v>
      </c>
      <c r="Y79" s="26">
        <f t="shared" si="40"/>
        <v>9553025.4166666605</v>
      </c>
      <c r="Z79" s="26">
        <f t="shared" si="41"/>
        <v>9553033.5638888832</v>
      </c>
      <c r="AA79" s="1">
        <f t="shared" si="42"/>
        <v>10.184027777777771</v>
      </c>
    </row>
    <row r="80" spans="7:27" x14ac:dyDescent="0.25">
      <c r="G80">
        <v>71</v>
      </c>
      <c r="H80" s="21">
        <v>45992</v>
      </c>
      <c r="I80" s="16">
        <f t="shared" si="25"/>
        <v>33946.759259259263</v>
      </c>
      <c r="J80" s="16">
        <f t="shared" si="30"/>
        <v>6789.3518518518531</v>
      </c>
      <c r="K80" s="16">
        <f t="shared" si="26"/>
        <v>7926907.7546296213</v>
      </c>
      <c r="L80" s="26">
        <f t="shared" si="31"/>
        <v>7967643.8657407323</v>
      </c>
      <c r="M80" s="26">
        <f t="shared" si="32"/>
        <v>7967650.655092584</v>
      </c>
      <c r="N80" s="16">
        <f t="shared" si="27"/>
        <v>40736.111111111015</v>
      </c>
      <c r="O80" s="16"/>
      <c r="P80" s="16">
        <f t="shared" si="33"/>
        <v>-13777720.621142164</v>
      </c>
      <c r="Q80" s="16">
        <f t="shared" si="34"/>
        <v>-175553.24074074268</v>
      </c>
      <c r="R80" s="26">
        <f t="shared" si="28"/>
        <v>-13743773.861882905</v>
      </c>
      <c r="S80" s="16">
        <f t="shared" si="29"/>
        <v>204.24633487654299</v>
      </c>
      <c r="T80" s="26">
        <f t="shared" si="35"/>
        <v>7967643.8657407323</v>
      </c>
      <c r="U80" s="26">
        <f t="shared" si="36"/>
        <v>7967650.655092584</v>
      </c>
      <c r="V80" s="3">
        <f t="shared" si="37"/>
        <v>1585381.5509259244</v>
      </c>
      <c r="W80" s="16">
        <f t="shared" si="38"/>
        <v>0</v>
      </c>
      <c r="X80" s="16">
        <f t="shared" si="39"/>
        <v>1.357870370370369</v>
      </c>
      <c r="Y80" s="26">
        <f t="shared" si="40"/>
        <v>6382262.3148148078</v>
      </c>
      <c r="Z80" s="26">
        <f t="shared" si="41"/>
        <v>6382267.7462962894</v>
      </c>
      <c r="AA80" s="1">
        <f t="shared" si="42"/>
        <v>6.7893518518518441</v>
      </c>
    </row>
    <row r="81" spans="7:27" x14ac:dyDescent="0.25">
      <c r="G81">
        <v>72</v>
      </c>
      <c r="H81" s="21">
        <v>46023</v>
      </c>
      <c r="I81" s="16">
        <f t="shared" si="25"/>
        <v>33946.759259259263</v>
      </c>
      <c r="J81" s="16">
        <f t="shared" si="30"/>
        <v>6789.3518518518531</v>
      </c>
      <c r="K81" s="16">
        <f t="shared" si="26"/>
        <v>3963453.8773148055</v>
      </c>
      <c r="L81" s="26">
        <f t="shared" si="31"/>
        <v>4004189.9884259165</v>
      </c>
      <c r="M81" s="26">
        <f t="shared" si="32"/>
        <v>4004193.3831018424</v>
      </c>
      <c r="N81" s="16">
        <f t="shared" si="27"/>
        <v>-1.0095391189679503E-10</v>
      </c>
      <c r="O81" s="16"/>
      <c r="P81" s="16">
        <f t="shared" si="33"/>
        <v>-17080598.852237843</v>
      </c>
      <c r="Q81" s="16">
        <f t="shared" si="34"/>
        <v>-209500.00000000195</v>
      </c>
      <c r="R81" s="26">
        <f t="shared" si="28"/>
        <v>-17046652.092978586</v>
      </c>
      <c r="S81" s="16">
        <f t="shared" si="29"/>
        <v>102.12316743827137</v>
      </c>
      <c r="T81" s="26">
        <f t="shared" si="35"/>
        <v>4004189.9884259165</v>
      </c>
      <c r="U81" s="26">
        <f t="shared" si="36"/>
        <v>4004193.3831018424</v>
      </c>
      <c r="V81" s="3">
        <f t="shared" si="37"/>
        <v>792690.77546296117</v>
      </c>
      <c r="W81" s="16">
        <f t="shared" si="38"/>
        <v>0</v>
      </c>
      <c r="X81" s="16">
        <f t="shared" si="39"/>
        <v>0.67893518518518359</v>
      </c>
      <c r="Y81" s="26">
        <f t="shared" si="40"/>
        <v>3211499.2129629552</v>
      </c>
      <c r="Z81" s="26">
        <f t="shared" si="41"/>
        <v>3211501.928703696</v>
      </c>
      <c r="AA81" s="1">
        <f t="shared" si="42"/>
        <v>3.3946759259259176</v>
      </c>
    </row>
    <row r="82" spans="7:27" x14ac:dyDescent="0.25">
      <c r="G82">
        <v>73</v>
      </c>
      <c r="H82" s="21">
        <v>46054</v>
      </c>
      <c r="I82" s="16">
        <f t="shared" si="25"/>
        <v>0</v>
      </c>
      <c r="J82" s="16">
        <f t="shared" si="30"/>
        <v>0</v>
      </c>
      <c r="K82" s="16">
        <f t="shared" si="26"/>
        <v>0</v>
      </c>
      <c r="L82" s="26">
        <f t="shared" si="31"/>
        <v>0</v>
      </c>
      <c r="M82" s="26">
        <f t="shared" si="32"/>
        <v>0</v>
      </c>
      <c r="N82" s="16">
        <f t="shared" si="27"/>
        <v>0</v>
      </c>
      <c r="O82" s="16"/>
      <c r="P82" s="16">
        <f t="shared" si="33"/>
        <v>-20383477.083333522</v>
      </c>
      <c r="Q82" s="16">
        <f t="shared" si="34"/>
        <v>-209500.00000000195</v>
      </c>
      <c r="R82" s="26">
        <f t="shared" si="28"/>
        <v>0</v>
      </c>
      <c r="S82" s="16">
        <f t="shared" si="29"/>
        <v>0</v>
      </c>
      <c r="T82" s="26">
        <f t="shared" si="35"/>
        <v>0</v>
      </c>
      <c r="U82" s="26">
        <f t="shared" si="36"/>
        <v>0</v>
      </c>
      <c r="V82" s="3">
        <f t="shared" si="37"/>
        <v>0</v>
      </c>
      <c r="W82" s="16">
        <f t="shared" si="38"/>
        <v>0</v>
      </c>
      <c r="X82" s="16">
        <f t="shared" si="39"/>
        <v>0</v>
      </c>
      <c r="Y82" s="26">
        <f t="shared" si="40"/>
        <v>0</v>
      </c>
      <c r="Z82" s="26">
        <f t="shared" si="41"/>
        <v>0</v>
      </c>
      <c r="AA82" s="1">
        <f t="shared" si="42"/>
        <v>0</v>
      </c>
    </row>
    <row r="83" spans="7:27" x14ac:dyDescent="0.25">
      <c r="G83">
        <v>74</v>
      </c>
      <c r="H83" s="21">
        <v>46082</v>
      </c>
      <c r="I83" s="16">
        <f t="shared" si="25"/>
        <v>0</v>
      </c>
      <c r="J83" s="16">
        <f t="shared" si="30"/>
        <v>0</v>
      </c>
      <c r="K83" s="16">
        <f t="shared" si="26"/>
        <v>0</v>
      </c>
      <c r="L83" s="26">
        <f t="shared" si="31"/>
        <v>0</v>
      </c>
      <c r="M83" s="26">
        <f t="shared" si="32"/>
        <v>0</v>
      </c>
      <c r="N83" s="16">
        <f t="shared" si="27"/>
        <v>0</v>
      </c>
      <c r="O83" s="16"/>
      <c r="P83" s="16">
        <f t="shared" si="33"/>
        <v>0</v>
      </c>
      <c r="Q83" s="16">
        <f t="shared" si="34"/>
        <v>0</v>
      </c>
      <c r="R83" s="26">
        <f t="shared" si="28"/>
        <v>0</v>
      </c>
      <c r="S83" s="16">
        <f t="shared" si="29"/>
        <v>0</v>
      </c>
      <c r="T83" s="26">
        <f t="shared" si="35"/>
        <v>0</v>
      </c>
      <c r="U83" s="26">
        <f t="shared" si="36"/>
        <v>0</v>
      </c>
      <c r="V83" s="3">
        <f t="shared" si="37"/>
        <v>0</v>
      </c>
      <c r="W83" s="16">
        <f t="shared" si="38"/>
        <v>0</v>
      </c>
      <c r="X83" s="16">
        <f t="shared" si="39"/>
        <v>0</v>
      </c>
      <c r="Y83" s="26">
        <f t="shared" si="40"/>
        <v>0</v>
      </c>
      <c r="Z83" s="26">
        <f t="shared" si="41"/>
        <v>0</v>
      </c>
      <c r="AA83" s="1">
        <f t="shared" si="42"/>
        <v>0</v>
      </c>
    </row>
    <row r="84" spans="7:27" x14ac:dyDescent="0.25">
      <c r="G84">
        <v>75</v>
      </c>
      <c r="H84" s="21">
        <v>46113</v>
      </c>
      <c r="I84" s="16">
        <f t="shared" si="25"/>
        <v>0</v>
      </c>
      <c r="J84" s="16">
        <f t="shared" si="30"/>
        <v>0</v>
      </c>
      <c r="K84" s="16">
        <f t="shared" si="26"/>
        <v>0</v>
      </c>
      <c r="L84" s="26">
        <f t="shared" si="31"/>
        <v>0</v>
      </c>
      <c r="M84" s="26">
        <f t="shared" si="32"/>
        <v>0</v>
      </c>
      <c r="N84" s="16">
        <f t="shared" si="27"/>
        <v>0</v>
      </c>
      <c r="O84" s="16"/>
      <c r="P84" s="16">
        <f t="shared" si="33"/>
        <v>0</v>
      </c>
      <c r="Q84" s="16">
        <f t="shared" si="34"/>
        <v>0</v>
      </c>
      <c r="R84" s="26">
        <f t="shared" si="28"/>
        <v>0</v>
      </c>
      <c r="S84" s="16">
        <f t="shared" si="29"/>
        <v>0</v>
      </c>
      <c r="T84" s="26">
        <f t="shared" si="35"/>
        <v>0</v>
      </c>
      <c r="U84" s="26">
        <f t="shared" si="36"/>
        <v>0</v>
      </c>
      <c r="V84" s="3">
        <f t="shared" si="37"/>
        <v>0</v>
      </c>
      <c r="W84" s="16">
        <f t="shared" si="38"/>
        <v>0</v>
      </c>
      <c r="X84" s="16">
        <f t="shared" si="39"/>
        <v>0</v>
      </c>
      <c r="Y84" s="26">
        <f t="shared" si="40"/>
        <v>0</v>
      </c>
      <c r="Z84" s="26">
        <f t="shared" si="41"/>
        <v>0</v>
      </c>
      <c r="AA84" s="1">
        <f t="shared" si="42"/>
        <v>0</v>
      </c>
    </row>
    <row r="85" spans="7:27" x14ac:dyDescent="0.25">
      <c r="G85">
        <v>76</v>
      </c>
      <c r="H85" s="21">
        <v>46143</v>
      </c>
      <c r="I85" s="16">
        <f t="shared" si="25"/>
        <v>0</v>
      </c>
      <c r="J85" s="16">
        <f t="shared" si="30"/>
        <v>0</v>
      </c>
      <c r="K85" s="16">
        <f t="shared" si="26"/>
        <v>0</v>
      </c>
      <c r="L85" s="26">
        <f t="shared" si="31"/>
        <v>0</v>
      </c>
      <c r="M85" s="26">
        <f t="shared" si="32"/>
        <v>0</v>
      </c>
      <c r="N85" s="16">
        <f t="shared" si="27"/>
        <v>0</v>
      </c>
      <c r="O85" s="16"/>
      <c r="P85" s="16">
        <f t="shared" si="33"/>
        <v>0</v>
      </c>
      <c r="Q85" s="16">
        <f t="shared" si="34"/>
        <v>0</v>
      </c>
      <c r="R85" s="26">
        <f t="shared" si="28"/>
        <v>0</v>
      </c>
      <c r="S85" s="16">
        <f t="shared" si="29"/>
        <v>0</v>
      </c>
      <c r="T85" s="26">
        <f t="shared" si="35"/>
        <v>0</v>
      </c>
      <c r="U85" s="26">
        <f t="shared" si="36"/>
        <v>0</v>
      </c>
      <c r="V85" s="3">
        <f t="shared" si="37"/>
        <v>0</v>
      </c>
      <c r="W85" s="16">
        <f t="shared" si="38"/>
        <v>0</v>
      </c>
      <c r="X85" s="16">
        <f t="shared" si="39"/>
        <v>0</v>
      </c>
      <c r="Y85" s="26">
        <f t="shared" si="40"/>
        <v>0</v>
      </c>
      <c r="Z85" s="26">
        <f t="shared" si="41"/>
        <v>0</v>
      </c>
      <c r="AA85" s="1">
        <f t="shared" si="42"/>
        <v>0</v>
      </c>
    </row>
    <row r="86" spans="7:27" x14ac:dyDescent="0.25">
      <c r="G86">
        <v>77</v>
      </c>
      <c r="H86" s="21">
        <v>46174</v>
      </c>
      <c r="I86" s="16">
        <f t="shared" si="25"/>
        <v>0</v>
      </c>
      <c r="J86" s="16">
        <f t="shared" si="30"/>
        <v>0</v>
      </c>
      <c r="K86" s="16">
        <f t="shared" si="26"/>
        <v>0</v>
      </c>
      <c r="L86" s="26">
        <f t="shared" si="31"/>
        <v>0</v>
      </c>
      <c r="M86" s="26">
        <f t="shared" si="32"/>
        <v>0</v>
      </c>
      <c r="N86" s="16">
        <f t="shared" si="27"/>
        <v>0</v>
      </c>
      <c r="O86" s="16"/>
      <c r="P86" s="16">
        <f t="shared" si="33"/>
        <v>0</v>
      </c>
      <c r="Q86" s="16">
        <f t="shared" si="34"/>
        <v>0</v>
      </c>
      <c r="R86" s="26">
        <f t="shared" si="28"/>
        <v>0</v>
      </c>
      <c r="S86" s="16">
        <f t="shared" si="29"/>
        <v>0</v>
      </c>
      <c r="T86" s="26">
        <f t="shared" si="35"/>
        <v>0</v>
      </c>
      <c r="U86" s="26">
        <f t="shared" si="36"/>
        <v>0</v>
      </c>
      <c r="V86" s="3">
        <f t="shared" si="37"/>
        <v>0</v>
      </c>
      <c r="W86" s="16">
        <f t="shared" si="38"/>
        <v>0</v>
      </c>
      <c r="X86" s="16">
        <f t="shared" si="39"/>
        <v>0</v>
      </c>
      <c r="Y86" s="26">
        <f t="shared" si="40"/>
        <v>0</v>
      </c>
      <c r="Z86" s="26">
        <f t="shared" si="41"/>
        <v>0</v>
      </c>
      <c r="AA86" s="1">
        <f t="shared" si="42"/>
        <v>0</v>
      </c>
    </row>
    <row r="87" spans="7:27" x14ac:dyDescent="0.25">
      <c r="G87">
        <v>78</v>
      </c>
      <c r="H87" s="21">
        <v>46204</v>
      </c>
      <c r="I87" s="16">
        <f t="shared" si="25"/>
        <v>0</v>
      </c>
      <c r="J87" s="16">
        <f t="shared" si="30"/>
        <v>0</v>
      </c>
      <c r="K87" s="16">
        <f t="shared" si="26"/>
        <v>0</v>
      </c>
      <c r="L87" s="26">
        <f t="shared" si="31"/>
        <v>0</v>
      </c>
      <c r="M87" s="26">
        <f t="shared" si="32"/>
        <v>0</v>
      </c>
      <c r="N87" s="16">
        <f t="shared" si="27"/>
        <v>0</v>
      </c>
      <c r="O87" s="16"/>
      <c r="P87" s="16">
        <f t="shared" si="33"/>
        <v>0</v>
      </c>
      <c r="Q87" s="16">
        <f t="shared" si="34"/>
        <v>0</v>
      </c>
      <c r="R87" s="26">
        <f t="shared" si="28"/>
        <v>0</v>
      </c>
      <c r="S87" s="16">
        <f t="shared" si="29"/>
        <v>0</v>
      </c>
      <c r="T87" s="26">
        <f t="shared" si="35"/>
        <v>0</v>
      </c>
      <c r="U87" s="26">
        <f t="shared" si="36"/>
        <v>0</v>
      </c>
      <c r="V87" s="3">
        <f t="shared" si="37"/>
        <v>0</v>
      </c>
      <c r="W87" s="16">
        <f t="shared" si="38"/>
        <v>0</v>
      </c>
      <c r="X87" s="16">
        <f t="shared" si="39"/>
        <v>0</v>
      </c>
      <c r="Y87" s="26">
        <f t="shared" si="40"/>
        <v>0</v>
      </c>
      <c r="Z87" s="26">
        <f t="shared" si="41"/>
        <v>0</v>
      </c>
      <c r="AA87" s="1">
        <f t="shared" si="42"/>
        <v>0</v>
      </c>
    </row>
    <row r="88" spans="7:27" x14ac:dyDescent="0.25">
      <c r="G88">
        <v>79</v>
      </c>
      <c r="H88" s="21">
        <v>46235</v>
      </c>
      <c r="I88" s="16">
        <f t="shared" si="25"/>
        <v>0</v>
      </c>
      <c r="J88" s="16">
        <f t="shared" si="30"/>
        <v>0</v>
      </c>
      <c r="K88" s="16">
        <f t="shared" si="26"/>
        <v>0</v>
      </c>
      <c r="L88" s="26">
        <f t="shared" si="31"/>
        <v>0</v>
      </c>
      <c r="M88" s="26">
        <f t="shared" si="32"/>
        <v>0</v>
      </c>
      <c r="N88" s="16">
        <f t="shared" si="27"/>
        <v>0</v>
      </c>
      <c r="O88" s="16"/>
      <c r="P88" s="16">
        <f t="shared" si="33"/>
        <v>0</v>
      </c>
      <c r="Q88" s="16">
        <f t="shared" si="34"/>
        <v>0</v>
      </c>
      <c r="R88" s="26">
        <f t="shared" si="28"/>
        <v>0</v>
      </c>
      <c r="S88" s="16">
        <f t="shared" si="29"/>
        <v>0</v>
      </c>
      <c r="T88" s="26">
        <f t="shared" si="35"/>
        <v>0</v>
      </c>
      <c r="U88" s="26">
        <f t="shared" si="36"/>
        <v>0</v>
      </c>
      <c r="V88" s="3">
        <f t="shared" si="37"/>
        <v>0</v>
      </c>
      <c r="W88" s="16">
        <f t="shared" si="38"/>
        <v>0</v>
      </c>
      <c r="X88" s="16">
        <f t="shared" si="39"/>
        <v>0</v>
      </c>
      <c r="Y88" s="26">
        <f t="shared" si="40"/>
        <v>0</v>
      </c>
      <c r="Z88" s="26">
        <f t="shared" si="41"/>
        <v>0</v>
      </c>
      <c r="AA88" s="1">
        <f t="shared" si="42"/>
        <v>0</v>
      </c>
    </row>
    <row r="89" spans="7:27" x14ac:dyDescent="0.25">
      <c r="G89">
        <v>80</v>
      </c>
      <c r="H89" s="21">
        <v>46266</v>
      </c>
      <c r="I89" s="16">
        <f t="shared" si="25"/>
        <v>0</v>
      </c>
      <c r="J89" s="16">
        <f t="shared" si="30"/>
        <v>0</v>
      </c>
      <c r="K89" s="16">
        <f t="shared" si="26"/>
        <v>0</v>
      </c>
      <c r="L89" s="26">
        <f t="shared" si="31"/>
        <v>0</v>
      </c>
      <c r="M89" s="26">
        <f t="shared" si="32"/>
        <v>0</v>
      </c>
      <c r="N89" s="16">
        <f t="shared" si="27"/>
        <v>0</v>
      </c>
      <c r="O89" s="16"/>
      <c r="P89" s="16">
        <f t="shared" si="33"/>
        <v>0</v>
      </c>
      <c r="Q89" s="16">
        <f t="shared" si="34"/>
        <v>0</v>
      </c>
      <c r="R89" s="26">
        <f t="shared" si="28"/>
        <v>0</v>
      </c>
      <c r="S89" s="16">
        <f t="shared" si="29"/>
        <v>0</v>
      </c>
      <c r="T89" s="26">
        <f t="shared" si="35"/>
        <v>0</v>
      </c>
      <c r="U89" s="26">
        <f t="shared" si="36"/>
        <v>0</v>
      </c>
      <c r="V89" s="3">
        <f t="shared" si="37"/>
        <v>0</v>
      </c>
      <c r="W89" s="16">
        <f t="shared" si="38"/>
        <v>0</v>
      </c>
      <c r="X89" s="16">
        <f t="shared" si="39"/>
        <v>0</v>
      </c>
      <c r="Y89" s="26">
        <f t="shared" si="40"/>
        <v>0</v>
      </c>
      <c r="Z89" s="26">
        <f t="shared" si="41"/>
        <v>0</v>
      </c>
      <c r="AA89" s="1">
        <f t="shared" si="42"/>
        <v>0</v>
      </c>
    </row>
    <row r="90" spans="7:27" x14ac:dyDescent="0.25">
      <c r="G90">
        <v>81</v>
      </c>
      <c r="H90" s="21">
        <v>46296</v>
      </c>
      <c r="I90" s="16">
        <f t="shared" si="25"/>
        <v>0</v>
      </c>
      <c r="J90" s="16">
        <f t="shared" si="30"/>
        <v>0</v>
      </c>
      <c r="K90" s="16">
        <f t="shared" si="26"/>
        <v>0</v>
      </c>
      <c r="L90" s="26">
        <f t="shared" si="31"/>
        <v>0</v>
      </c>
      <c r="M90" s="26">
        <f t="shared" si="32"/>
        <v>0</v>
      </c>
      <c r="N90" s="16">
        <f t="shared" si="27"/>
        <v>0</v>
      </c>
      <c r="O90" s="16"/>
      <c r="P90" s="16">
        <f t="shared" si="33"/>
        <v>0</v>
      </c>
      <c r="Q90" s="16">
        <f t="shared" si="34"/>
        <v>0</v>
      </c>
      <c r="R90" s="26">
        <f t="shared" si="28"/>
        <v>0</v>
      </c>
      <c r="S90" s="16">
        <f t="shared" si="29"/>
        <v>0</v>
      </c>
      <c r="T90" s="26">
        <f t="shared" si="35"/>
        <v>0</v>
      </c>
      <c r="U90" s="26">
        <f t="shared" si="36"/>
        <v>0</v>
      </c>
      <c r="V90" s="3">
        <f t="shared" si="37"/>
        <v>0</v>
      </c>
      <c r="W90" s="16">
        <f t="shared" si="38"/>
        <v>0</v>
      </c>
      <c r="X90" s="16">
        <f t="shared" si="39"/>
        <v>0</v>
      </c>
      <c r="Y90" s="26">
        <f t="shared" si="40"/>
        <v>0</v>
      </c>
      <c r="Z90" s="26">
        <f t="shared" si="41"/>
        <v>0</v>
      </c>
      <c r="AA90" s="1">
        <f t="shared" si="42"/>
        <v>0</v>
      </c>
    </row>
    <row r="91" spans="7:27" x14ac:dyDescent="0.25">
      <c r="G91">
        <v>82</v>
      </c>
      <c r="H91" s="21">
        <v>46327</v>
      </c>
      <c r="I91" s="16">
        <f t="shared" si="25"/>
        <v>0</v>
      </c>
      <c r="J91" s="16">
        <f t="shared" si="30"/>
        <v>0</v>
      </c>
      <c r="K91" s="16">
        <f t="shared" si="26"/>
        <v>0</v>
      </c>
      <c r="L91" s="26">
        <f t="shared" si="31"/>
        <v>0</v>
      </c>
      <c r="M91" s="26">
        <f t="shared" si="32"/>
        <v>0</v>
      </c>
      <c r="N91" s="16">
        <f t="shared" si="27"/>
        <v>0</v>
      </c>
      <c r="O91" s="16"/>
      <c r="P91" s="16">
        <f t="shared" si="33"/>
        <v>0</v>
      </c>
      <c r="Q91" s="16">
        <f t="shared" si="34"/>
        <v>0</v>
      </c>
      <c r="R91" s="26">
        <f t="shared" si="28"/>
        <v>0</v>
      </c>
      <c r="S91" s="16">
        <f t="shared" si="29"/>
        <v>0</v>
      </c>
      <c r="T91" s="26">
        <f t="shared" si="35"/>
        <v>0</v>
      </c>
      <c r="U91" s="26">
        <f t="shared" si="36"/>
        <v>0</v>
      </c>
      <c r="V91" s="3">
        <f t="shared" si="37"/>
        <v>0</v>
      </c>
      <c r="W91" s="16">
        <f t="shared" si="38"/>
        <v>0</v>
      </c>
      <c r="X91" s="16">
        <f t="shared" si="39"/>
        <v>0</v>
      </c>
      <c r="Y91" s="26">
        <f t="shared" si="40"/>
        <v>0</v>
      </c>
      <c r="Z91" s="26">
        <f t="shared" si="41"/>
        <v>0</v>
      </c>
      <c r="AA91" s="1">
        <f t="shared" si="42"/>
        <v>0</v>
      </c>
    </row>
    <row r="92" spans="7:27" x14ac:dyDescent="0.25">
      <c r="G92">
        <v>83</v>
      </c>
      <c r="H92" s="21">
        <v>46357</v>
      </c>
      <c r="I92" s="16">
        <f t="shared" si="25"/>
        <v>0</v>
      </c>
      <c r="J92" s="16">
        <f t="shared" si="30"/>
        <v>0</v>
      </c>
      <c r="K92" s="16">
        <f t="shared" si="26"/>
        <v>0</v>
      </c>
      <c r="L92" s="26">
        <f t="shared" si="31"/>
        <v>0</v>
      </c>
      <c r="M92" s="26">
        <f t="shared" si="32"/>
        <v>0</v>
      </c>
      <c r="N92" s="16">
        <f t="shared" si="27"/>
        <v>0</v>
      </c>
      <c r="O92" s="16"/>
      <c r="P92" s="16">
        <f t="shared" si="33"/>
        <v>0</v>
      </c>
      <c r="Q92" s="16">
        <f t="shared" si="34"/>
        <v>0</v>
      </c>
      <c r="R92" s="26">
        <f t="shared" si="28"/>
        <v>0</v>
      </c>
      <c r="S92" s="16">
        <f t="shared" si="29"/>
        <v>0</v>
      </c>
      <c r="T92" s="26">
        <f t="shared" si="35"/>
        <v>0</v>
      </c>
      <c r="U92" s="26">
        <f t="shared" si="36"/>
        <v>0</v>
      </c>
      <c r="V92" s="3">
        <f t="shared" si="37"/>
        <v>0</v>
      </c>
      <c r="W92" s="16">
        <f t="shared" si="38"/>
        <v>0</v>
      </c>
      <c r="X92" s="16">
        <f t="shared" si="39"/>
        <v>0</v>
      </c>
      <c r="Y92" s="26">
        <f t="shared" si="40"/>
        <v>0</v>
      </c>
      <c r="Z92" s="26">
        <f t="shared" si="41"/>
        <v>0</v>
      </c>
      <c r="AA92" s="1">
        <f t="shared" si="42"/>
        <v>0</v>
      </c>
    </row>
    <row r="93" spans="7:27" x14ac:dyDescent="0.25">
      <c r="G93">
        <v>84</v>
      </c>
      <c r="H93" s="21">
        <v>46388</v>
      </c>
      <c r="I93" s="16">
        <f t="shared" si="25"/>
        <v>0</v>
      </c>
      <c r="J93" s="16">
        <f t="shared" si="30"/>
        <v>0</v>
      </c>
      <c r="K93" s="16">
        <f t="shared" si="26"/>
        <v>0</v>
      </c>
      <c r="L93" s="26">
        <f t="shared" si="31"/>
        <v>0</v>
      </c>
      <c r="M93" s="26">
        <f t="shared" si="32"/>
        <v>0</v>
      </c>
      <c r="N93" s="16">
        <f t="shared" si="27"/>
        <v>0</v>
      </c>
      <c r="O93" s="16"/>
      <c r="P93" s="16">
        <f t="shared" si="33"/>
        <v>0</v>
      </c>
      <c r="Q93" s="16">
        <f t="shared" si="34"/>
        <v>0</v>
      </c>
      <c r="R93" s="26">
        <f t="shared" si="28"/>
        <v>0</v>
      </c>
      <c r="S93" s="16">
        <f t="shared" si="29"/>
        <v>0</v>
      </c>
      <c r="T93" s="26">
        <f t="shared" si="35"/>
        <v>0</v>
      </c>
      <c r="U93" s="26">
        <f t="shared" si="36"/>
        <v>0</v>
      </c>
      <c r="V93" s="3">
        <f t="shared" si="37"/>
        <v>0</v>
      </c>
      <c r="W93" s="16">
        <f t="shared" si="38"/>
        <v>0</v>
      </c>
      <c r="X93" s="16">
        <f t="shared" si="39"/>
        <v>0</v>
      </c>
      <c r="Y93" s="26">
        <f t="shared" si="40"/>
        <v>0</v>
      </c>
      <c r="Z93" s="26">
        <f t="shared" si="41"/>
        <v>0</v>
      </c>
      <c r="AA93" s="1">
        <f t="shared" si="42"/>
        <v>0</v>
      </c>
    </row>
    <row r="94" spans="7:27" x14ac:dyDescent="0.25">
      <c r="G94">
        <v>85</v>
      </c>
      <c r="H94" s="21">
        <v>46419</v>
      </c>
      <c r="I94" s="16">
        <f t="shared" si="25"/>
        <v>0</v>
      </c>
      <c r="J94" s="16">
        <f t="shared" si="30"/>
        <v>0</v>
      </c>
      <c r="K94" s="16">
        <f t="shared" si="26"/>
        <v>0</v>
      </c>
      <c r="L94" s="26">
        <f t="shared" si="31"/>
        <v>0</v>
      </c>
      <c r="M94" s="26">
        <f t="shared" si="32"/>
        <v>0</v>
      </c>
      <c r="N94" s="16">
        <f t="shared" si="27"/>
        <v>0</v>
      </c>
      <c r="O94" s="16"/>
      <c r="P94" s="16">
        <f t="shared" si="33"/>
        <v>0</v>
      </c>
      <c r="Q94" s="16">
        <f t="shared" si="34"/>
        <v>0</v>
      </c>
      <c r="R94" s="26">
        <f t="shared" si="28"/>
        <v>0</v>
      </c>
      <c r="S94" s="16">
        <f t="shared" si="29"/>
        <v>0</v>
      </c>
      <c r="T94" s="26">
        <f t="shared" si="35"/>
        <v>0</v>
      </c>
      <c r="U94" s="26">
        <f t="shared" si="36"/>
        <v>0</v>
      </c>
      <c r="V94" s="3">
        <f t="shared" si="37"/>
        <v>0</v>
      </c>
      <c r="W94" s="16">
        <f t="shared" si="38"/>
        <v>0</v>
      </c>
      <c r="X94" s="16">
        <f t="shared" si="39"/>
        <v>0</v>
      </c>
      <c r="Y94" s="26">
        <f t="shared" si="40"/>
        <v>0</v>
      </c>
      <c r="Z94" s="26">
        <f t="shared" si="41"/>
        <v>0</v>
      </c>
      <c r="AA94" s="1">
        <f t="shared" si="42"/>
        <v>0</v>
      </c>
    </row>
    <row r="95" spans="7:27" x14ac:dyDescent="0.25">
      <c r="G95">
        <v>86</v>
      </c>
      <c r="H95" s="21">
        <v>46447</v>
      </c>
      <c r="I95" s="16">
        <f t="shared" si="25"/>
        <v>0</v>
      </c>
      <c r="J95" s="16">
        <f t="shared" si="30"/>
        <v>0</v>
      </c>
      <c r="K95" s="16">
        <f t="shared" si="26"/>
        <v>0</v>
      </c>
      <c r="L95" s="26">
        <f t="shared" si="31"/>
        <v>0</v>
      </c>
      <c r="M95" s="26">
        <f t="shared" si="32"/>
        <v>0</v>
      </c>
      <c r="N95" s="16">
        <f t="shared" si="27"/>
        <v>0</v>
      </c>
      <c r="O95" s="16"/>
      <c r="P95" s="16">
        <f t="shared" si="33"/>
        <v>0</v>
      </c>
      <c r="Q95" s="16">
        <f t="shared" si="34"/>
        <v>0</v>
      </c>
      <c r="R95" s="26">
        <f t="shared" si="28"/>
        <v>0</v>
      </c>
      <c r="S95" s="16">
        <f t="shared" si="29"/>
        <v>0</v>
      </c>
      <c r="T95" s="26">
        <f t="shared" si="35"/>
        <v>0</v>
      </c>
      <c r="U95" s="26">
        <f t="shared" si="36"/>
        <v>0</v>
      </c>
      <c r="V95" s="3">
        <f t="shared" si="37"/>
        <v>0</v>
      </c>
      <c r="W95" s="16">
        <f t="shared" si="38"/>
        <v>0</v>
      </c>
      <c r="X95" s="16">
        <f t="shared" si="39"/>
        <v>0</v>
      </c>
      <c r="Y95" s="26">
        <f t="shared" si="40"/>
        <v>0</v>
      </c>
      <c r="Z95" s="26">
        <f t="shared" si="41"/>
        <v>0</v>
      </c>
      <c r="AA95" s="1">
        <f t="shared" si="42"/>
        <v>0</v>
      </c>
    </row>
    <row r="96" spans="7:27" x14ac:dyDescent="0.25">
      <c r="G96">
        <v>87</v>
      </c>
      <c r="H96" s="21">
        <v>46478</v>
      </c>
      <c r="I96" s="16">
        <f t="shared" si="25"/>
        <v>0</v>
      </c>
      <c r="J96" s="16">
        <f t="shared" si="30"/>
        <v>0</v>
      </c>
      <c r="K96" s="16">
        <f t="shared" si="26"/>
        <v>0</v>
      </c>
      <c r="L96" s="26">
        <f t="shared" si="31"/>
        <v>0</v>
      </c>
      <c r="M96" s="26">
        <f t="shared" si="32"/>
        <v>0</v>
      </c>
      <c r="N96" s="16">
        <f t="shared" si="27"/>
        <v>0</v>
      </c>
      <c r="O96" s="16"/>
      <c r="P96" s="16">
        <f t="shared" si="33"/>
        <v>0</v>
      </c>
      <c r="Q96" s="16">
        <f t="shared" si="34"/>
        <v>0</v>
      </c>
      <c r="R96" s="26">
        <f t="shared" si="28"/>
        <v>0</v>
      </c>
      <c r="S96" s="16">
        <f t="shared" si="29"/>
        <v>0</v>
      </c>
      <c r="T96" s="26">
        <f t="shared" si="35"/>
        <v>0</v>
      </c>
      <c r="U96" s="26">
        <f t="shared" si="36"/>
        <v>0</v>
      </c>
      <c r="V96" s="3">
        <f t="shared" si="37"/>
        <v>0</v>
      </c>
      <c r="W96" s="16">
        <f t="shared" si="38"/>
        <v>0</v>
      </c>
      <c r="X96" s="16">
        <f t="shared" si="39"/>
        <v>0</v>
      </c>
      <c r="Y96" s="26">
        <f t="shared" si="40"/>
        <v>0</v>
      </c>
      <c r="Z96" s="26">
        <f t="shared" si="41"/>
        <v>0</v>
      </c>
      <c r="AA96" s="1">
        <f t="shared" si="42"/>
        <v>0</v>
      </c>
    </row>
    <row r="97" spans="7:27" x14ac:dyDescent="0.25">
      <c r="G97">
        <v>88</v>
      </c>
      <c r="H97" s="21">
        <v>46508</v>
      </c>
      <c r="I97" s="16">
        <f t="shared" si="25"/>
        <v>0</v>
      </c>
      <c r="J97" s="16">
        <f t="shared" si="30"/>
        <v>0</v>
      </c>
      <c r="K97" s="16">
        <f t="shared" si="26"/>
        <v>0</v>
      </c>
      <c r="L97" s="26">
        <f t="shared" si="31"/>
        <v>0</v>
      </c>
      <c r="M97" s="26">
        <f t="shared" si="32"/>
        <v>0</v>
      </c>
      <c r="N97" s="16">
        <f t="shared" si="27"/>
        <v>0</v>
      </c>
      <c r="O97" s="16"/>
      <c r="P97" s="16">
        <f t="shared" si="33"/>
        <v>0</v>
      </c>
      <c r="Q97" s="16">
        <f t="shared" si="34"/>
        <v>0</v>
      </c>
      <c r="R97" s="26">
        <f t="shared" si="28"/>
        <v>0</v>
      </c>
      <c r="S97" s="16">
        <f t="shared" si="29"/>
        <v>0</v>
      </c>
      <c r="T97" s="26">
        <f t="shared" si="35"/>
        <v>0</v>
      </c>
      <c r="U97" s="26">
        <f t="shared" si="36"/>
        <v>0</v>
      </c>
      <c r="V97" s="3">
        <f t="shared" si="37"/>
        <v>0</v>
      </c>
      <c r="W97" s="16">
        <f t="shared" si="38"/>
        <v>0</v>
      </c>
      <c r="X97" s="16">
        <f t="shared" si="39"/>
        <v>0</v>
      </c>
      <c r="Y97" s="26">
        <f t="shared" si="40"/>
        <v>0</v>
      </c>
      <c r="Z97" s="26">
        <f t="shared" si="41"/>
        <v>0</v>
      </c>
      <c r="AA97" s="1">
        <f t="shared" si="42"/>
        <v>0</v>
      </c>
    </row>
    <row r="98" spans="7:27" x14ac:dyDescent="0.25">
      <c r="G98">
        <v>89</v>
      </c>
      <c r="H98" s="21">
        <v>46539</v>
      </c>
      <c r="I98" s="16">
        <f t="shared" si="25"/>
        <v>0</v>
      </c>
      <c r="J98" s="16">
        <f t="shared" si="30"/>
        <v>0</v>
      </c>
      <c r="K98" s="16">
        <f t="shared" si="26"/>
        <v>0</v>
      </c>
      <c r="L98" s="26">
        <f t="shared" si="31"/>
        <v>0</v>
      </c>
      <c r="M98" s="26">
        <f t="shared" si="32"/>
        <v>0</v>
      </c>
      <c r="N98" s="16">
        <f t="shared" si="27"/>
        <v>0</v>
      </c>
      <c r="O98" s="16"/>
      <c r="P98" s="16">
        <f t="shared" si="33"/>
        <v>0</v>
      </c>
      <c r="Q98" s="16">
        <f t="shared" si="34"/>
        <v>0</v>
      </c>
      <c r="R98" s="26">
        <f t="shared" si="28"/>
        <v>0</v>
      </c>
      <c r="S98" s="16">
        <f t="shared" si="29"/>
        <v>0</v>
      </c>
      <c r="T98" s="26">
        <f t="shared" si="35"/>
        <v>0</v>
      </c>
      <c r="U98" s="26">
        <f t="shared" si="36"/>
        <v>0</v>
      </c>
      <c r="V98" s="3">
        <f t="shared" si="37"/>
        <v>0</v>
      </c>
      <c r="W98" s="16">
        <f t="shared" si="38"/>
        <v>0</v>
      </c>
      <c r="X98" s="16">
        <f t="shared" si="39"/>
        <v>0</v>
      </c>
      <c r="Y98" s="26">
        <f t="shared" si="40"/>
        <v>0</v>
      </c>
      <c r="Z98" s="26">
        <f t="shared" si="41"/>
        <v>0</v>
      </c>
      <c r="AA98" s="1">
        <f t="shared" si="42"/>
        <v>0</v>
      </c>
    </row>
    <row r="99" spans="7:27" x14ac:dyDescent="0.25">
      <c r="G99">
        <v>90</v>
      </c>
      <c r="H99" s="21">
        <v>46569</v>
      </c>
      <c r="I99" s="16">
        <f t="shared" si="25"/>
        <v>0</v>
      </c>
      <c r="J99" s="16">
        <f t="shared" si="30"/>
        <v>0</v>
      </c>
      <c r="K99" s="16">
        <f t="shared" si="26"/>
        <v>0</v>
      </c>
      <c r="L99" s="26">
        <f t="shared" si="31"/>
        <v>0</v>
      </c>
      <c r="M99" s="26">
        <f t="shared" si="32"/>
        <v>0</v>
      </c>
      <c r="N99" s="16">
        <f t="shared" si="27"/>
        <v>0</v>
      </c>
      <c r="O99" s="16"/>
      <c r="P99" s="16">
        <f t="shared" si="33"/>
        <v>0</v>
      </c>
      <c r="Q99" s="16">
        <f t="shared" si="34"/>
        <v>0</v>
      </c>
      <c r="R99" s="26">
        <f t="shared" si="28"/>
        <v>0</v>
      </c>
      <c r="S99" s="16">
        <f t="shared" si="29"/>
        <v>0</v>
      </c>
      <c r="T99" s="26">
        <f t="shared" si="35"/>
        <v>0</v>
      </c>
      <c r="U99" s="26">
        <f t="shared" si="36"/>
        <v>0</v>
      </c>
      <c r="V99" s="3">
        <f t="shared" si="37"/>
        <v>0</v>
      </c>
      <c r="W99" s="16">
        <f t="shared" si="38"/>
        <v>0</v>
      </c>
      <c r="X99" s="16">
        <f t="shared" si="39"/>
        <v>0</v>
      </c>
      <c r="Y99" s="26">
        <f t="shared" si="40"/>
        <v>0</v>
      </c>
      <c r="Z99" s="26">
        <f t="shared" si="41"/>
        <v>0</v>
      </c>
      <c r="AA99" s="1">
        <f t="shared" si="42"/>
        <v>0</v>
      </c>
    </row>
    <row r="100" spans="7:27" x14ac:dyDescent="0.25">
      <c r="G100">
        <v>91</v>
      </c>
      <c r="H100" s="21">
        <v>46600</v>
      </c>
      <c r="I100" s="16">
        <f t="shared" si="25"/>
        <v>0</v>
      </c>
      <c r="J100" s="16">
        <f t="shared" si="30"/>
        <v>0</v>
      </c>
      <c r="K100" s="16">
        <f t="shared" si="26"/>
        <v>0</v>
      </c>
      <c r="L100" s="26">
        <f t="shared" si="31"/>
        <v>0</v>
      </c>
      <c r="M100" s="26">
        <f t="shared" si="32"/>
        <v>0</v>
      </c>
      <c r="N100" s="16">
        <f t="shared" si="27"/>
        <v>0</v>
      </c>
      <c r="O100" s="16"/>
      <c r="P100" s="16">
        <f t="shared" si="33"/>
        <v>0</v>
      </c>
      <c r="Q100" s="16">
        <f t="shared" si="34"/>
        <v>0</v>
      </c>
      <c r="R100" s="26">
        <f t="shared" si="28"/>
        <v>0</v>
      </c>
      <c r="S100" s="16">
        <f t="shared" si="29"/>
        <v>0</v>
      </c>
      <c r="T100" s="26">
        <f t="shared" si="35"/>
        <v>0</v>
      </c>
      <c r="U100" s="26">
        <f t="shared" si="36"/>
        <v>0</v>
      </c>
      <c r="V100" s="3">
        <f t="shared" si="37"/>
        <v>0</v>
      </c>
      <c r="W100" s="16">
        <f t="shared" si="38"/>
        <v>0</v>
      </c>
      <c r="X100" s="16">
        <f t="shared" si="39"/>
        <v>0</v>
      </c>
      <c r="Y100" s="26">
        <f t="shared" si="40"/>
        <v>0</v>
      </c>
      <c r="Z100" s="26">
        <f t="shared" si="41"/>
        <v>0</v>
      </c>
      <c r="AA100" s="1">
        <f t="shared" si="42"/>
        <v>0</v>
      </c>
    </row>
    <row r="101" spans="7:27" x14ac:dyDescent="0.25">
      <c r="G101">
        <v>92</v>
      </c>
      <c r="H101" s="21">
        <v>46631</v>
      </c>
      <c r="I101" s="16">
        <f t="shared" si="25"/>
        <v>0</v>
      </c>
      <c r="J101" s="16">
        <f t="shared" si="30"/>
        <v>0</v>
      </c>
      <c r="K101" s="16">
        <f t="shared" si="26"/>
        <v>0</v>
      </c>
      <c r="L101" s="26">
        <f t="shared" si="31"/>
        <v>0</v>
      </c>
      <c r="M101" s="26">
        <f t="shared" si="32"/>
        <v>0</v>
      </c>
      <c r="N101" s="16">
        <f t="shared" si="27"/>
        <v>0</v>
      </c>
      <c r="O101" s="16"/>
      <c r="P101" s="16">
        <f t="shared" si="33"/>
        <v>0</v>
      </c>
      <c r="Q101" s="16">
        <f t="shared" si="34"/>
        <v>0</v>
      </c>
      <c r="R101" s="26">
        <f t="shared" si="28"/>
        <v>0</v>
      </c>
      <c r="S101" s="16">
        <f t="shared" si="29"/>
        <v>0</v>
      </c>
      <c r="T101" s="26">
        <f t="shared" si="35"/>
        <v>0</v>
      </c>
      <c r="U101" s="26">
        <f t="shared" si="36"/>
        <v>0</v>
      </c>
      <c r="V101" s="3">
        <f t="shared" si="37"/>
        <v>0</v>
      </c>
      <c r="W101" s="16">
        <f t="shared" si="38"/>
        <v>0</v>
      </c>
      <c r="X101" s="16">
        <f t="shared" si="39"/>
        <v>0</v>
      </c>
      <c r="Y101" s="26">
        <f t="shared" si="40"/>
        <v>0</v>
      </c>
      <c r="Z101" s="26">
        <f t="shared" si="41"/>
        <v>0</v>
      </c>
      <c r="AA101" s="1">
        <f t="shared" si="42"/>
        <v>0</v>
      </c>
    </row>
    <row r="102" spans="7:27" x14ac:dyDescent="0.25">
      <c r="G102">
        <v>93</v>
      </c>
      <c r="H102" s="21">
        <v>46661</v>
      </c>
      <c r="I102" s="16">
        <f t="shared" si="25"/>
        <v>0</v>
      </c>
      <c r="J102" s="16">
        <f t="shared" si="30"/>
        <v>0</v>
      </c>
      <c r="K102" s="16">
        <f t="shared" si="26"/>
        <v>0</v>
      </c>
      <c r="L102" s="26">
        <f t="shared" si="31"/>
        <v>0</v>
      </c>
      <c r="M102" s="26">
        <f t="shared" si="32"/>
        <v>0</v>
      </c>
      <c r="N102" s="16">
        <f t="shared" si="27"/>
        <v>0</v>
      </c>
      <c r="O102" s="16"/>
      <c r="P102" s="16">
        <f t="shared" si="33"/>
        <v>0</v>
      </c>
      <c r="Q102" s="16">
        <f t="shared" si="34"/>
        <v>0</v>
      </c>
      <c r="R102" s="26">
        <f t="shared" si="28"/>
        <v>0</v>
      </c>
      <c r="S102" s="16">
        <f t="shared" si="29"/>
        <v>0</v>
      </c>
      <c r="T102" s="26">
        <f t="shared" si="35"/>
        <v>0</v>
      </c>
      <c r="U102" s="26">
        <f t="shared" si="36"/>
        <v>0</v>
      </c>
      <c r="V102" s="3">
        <f t="shared" si="37"/>
        <v>0</v>
      </c>
      <c r="W102" s="16">
        <f t="shared" si="38"/>
        <v>0</v>
      </c>
      <c r="X102" s="16">
        <f t="shared" si="39"/>
        <v>0</v>
      </c>
      <c r="Y102" s="26">
        <f t="shared" si="40"/>
        <v>0</v>
      </c>
      <c r="Z102" s="26">
        <f t="shared" si="41"/>
        <v>0</v>
      </c>
      <c r="AA102" s="1">
        <f t="shared" si="42"/>
        <v>0</v>
      </c>
    </row>
    <row r="103" spans="7:27" x14ac:dyDescent="0.25">
      <c r="G103">
        <v>94</v>
      </c>
      <c r="H103" s="21">
        <v>46692</v>
      </c>
      <c r="I103" s="16">
        <f t="shared" si="25"/>
        <v>0</v>
      </c>
      <c r="J103" s="16">
        <f t="shared" si="30"/>
        <v>0</v>
      </c>
      <c r="K103" s="16">
        <f t="shared" si="26"/>
        <v>0</v>
      </c>
      <c r="L103" s="26">
        <f t="shared" si="31"/>
        <v>0</v>
      </c>
      <c r="M103" s="26">
        <f t="shared" si="32"/>
        <v>0</v>
      </c>
      <c r="N103" s="16">
        <f t="shared" si="27"/>
        <v>0</v>
      </c>
      <c r="O103" s="16"/>
      <c r="P103" s="16">
        <f t="shared" si="33"/>
        <v>0</v>
      </c>
      <c r="Q103" s="16">
        <f t="shared" si="34"/>
        <v>0</v>
      </c>
      <c r="R103" s="26">
        <f t="shared" si="28"/>
        <v>0</v>
      </c>
      <c r="S103" s="16">
        <f t="shared" si="29"/>
        <v>0</v>
      </c>
      <c r="T103" s="26">
        <f t="shared" si="35"/>
        <v>0</v>
      </c>
      <c r="U103" s="26">
        <f t="shared" si="36"/>
        <v>0</v>
      </c>
      <c r="V103" s="3">
        <f t="shared" si="37"/>
        <v>0</v>
      </c>
      <c r="W103" s="16">
        <f t="shared" si="38"/>
        <v>0</v>
      </c>
      <c r="X103" s="16">
        <f t="shared" si="39"/>
        <v>0</v>
      </c>
      <c r="Y103" s="26">
        <f t="shared" si="40"/>
        <v>0</v>
      </c>
      <c r="Z103" s="26">
        <f t="shared" si="41"/>
        <v>0</v>
      </c>
      <c r="AA103" s="1">
        <f t="shared" si="42"/>
        <v>0</v>
      </c>
    </row>
    <row r="104" spans="7:27" x14ac:dyDescent="0.25">
      <c r="G104">
        <v>95</v>
      </c>
      <c r="H104" s="21">
        <v>46722</v>
      </c>
      <c r="I104" s="16">
        <f t="shared" si="25"/>
        <v>0</v>
      </c>
      <c r="J104" s="16">
        <f t="shared" si="30"/>
        <v>0</v>
      </c>
      <c r="K104" s="16">
        <f t="shared" si="26"/>
        <v>0</v>
      </c>
      <c r="L104" s="26">
        <f t="shared" si="31"/>
        <v>0</v>
      </c>
      <c r="M104" s="26">
        <f t="shared" si="32"/>
        <v>0</v>
      </c>
      <c r="N104" s="16">
        <f t="shared" si="27"/>
        <v>0</v>
      </c>
      <c r="O104" s="16"/>
      <c r="P104" s="16">
        <f t="shared" si="33"/>
        <v>0</v>
      </c>
      <c r="Q104" s="16">
        <f t="shared" si="34"/>
        <v>0</v>
      </c>
      <c r="R104" s="26">
        <f t="shared" si="28"/>
        <v>0</v>
      </c>
      <c r="S104" s="16">
        <f t="shared" si="29"/>
        <v>0</v>
      </c>
      <c r="T104" s="26">
        <f t="shared" si="35"/>
        <v>0</v>
      </c>
      <c r="U104" s="26">
        <f t="shared" si="36"/>
        <v>0</v>
      </c>
      <c r="V104" s="3">
        <f t="shared" si="37"/>
        <v>0</v>
      </c>
      <c r="W104" s="16">
        <f t="shared" si="38"/>
        <v>0</v>
      </c>
      <c r="X104" s="16">
        <f t="shared" si="39"/>
        <v>0</v>
      </c>
      <c r="Y104" s="26">
        <f t="shared" si="40"/>
        <v>0</v>
      </c>
      <c r="Z104" s="26">
        <f t="shared" si="41"/>
        <v>0</v>
      </c>
      <c r="AA104" s="1">
        <f t="shared" si="42"/>
        <v>0</v>
      </c>
    </row>
    <row r="105" spans="7:27" x14ac:dyDescent="0.25">
      <c r="G105">
        <v>96</v>
      </c>
      <c r="H105" s="21">
        <v>46753</v>
      </c>
      <c r="I105" s="16">
        <f t="shared" si="25"/>
        <v>0</v>
      </c>
      <c r="J105" s="16">
        <f t="shared" si="30"/>
        <v>0</v>
      </c>
      <c r="K105" s="16">
        <f t="shared" si="26"/>
        <v>0</v>
      </c>
      <c r="L105" s="26">
        <f t="shared" si="31"/>
        <v>0</v>
      </c>
      <c r="M105" s="26">
        <f t="shared" si="32"/>
        <v>0</v>
      </c>
      <c r="N105" s="16">
        <f t="shared" si="27"/>
        <v>0</v>
      </c>
      <c r="O105" s="16"/>
      <c r="P105" s="16">
        <f t="shared" si="33"/>
        <v>0</v>
      </c>
      <c r="Q105" s="16">
        <f t="shared" si="34"/>
        <v>0</v>
      </c>
      <c r="R105" s="26">
        <f t="shared" si="28"/>
        <v>0</v>
      </c>
      <c r="S105" s="16">
        <f t="shared" si="29"/>
        <v>0</v>
      </c>
      <c r="T105" s="26">
        <f t="shared" si="35"/>
        <v>0</v>
      </c>
      <c r="U105" s="26">
        <f t="shared" si="36"/>
        <v>0</v>
      </c>
      <c r="V105" s="3">
        <f t="shared" si="37"/>
        <v>0</v>
      </c>
      <c r="W105" s="16">
        <f t="shared" si="38"/>
        <v>0</v>
      </c>
      <c r="X105" s="16">
        <f t="shared" si="39"/>
        <v>0</v>
      </c>
      <c r="Y105" s="26">
        <f t="shared" si="40"/>
        <v>0</v>
      </c>
      <c r="Z105" s="26">
        <f t="shared" si="41"/>
        <v>0</v>
      </c>
      <c r="AA105" s="1">
        <f t="shared" si="42"/>
        <v>0</v>
      </c>
    </row>
    <row r="106" spans="7:27" x14ac:dyDescent="0.25">
      <c r="G106">
        <v>97</v>
      </c>
      <c r="H106" s="21">
        <v>46784</v>
      </c>
      <c r="I106" s="16">
        <f t="shared" ref="I106:I137" si="43">IF(G106&lt;=$D$14,$N$9/$D$14*1/(1+$D$20),0)</f>
        <v>0</v>
      </c>
      <c r="J106" s="16">
        <f t="shared" si="30"/>
        <v>0</v>
      </c>
      <c r="K106" s="16">
        <f t="shared" ref="K106:K137" si="44">IF(G106&lt;=$D$14,N105*$D$17,0)</f>
        <v>0</v>
      </c>
      <c r="L106" s="26">
        <f t="shared" si="31"/>
        <v>0</v>
      </c>
      <c r="M106" s="26">
        <f t="shared" si="32"/>
        <v>0</v>
      </c>
      <c r="N106" s="16">
        <f t="shared" ref="N106:N137" si="45">IF(G106&lt;=$D$14,N105-I106-J106,0)</f>
        <v>0</v>
      </c>
      <c r="O106" s="16"/>
      <c r="P106" s="16">
        <f t="shared" si="33"/>
        <v>0</v>
      </c>
      <c r="Q106" s="16">
        <f t="shared" si="34"/>
        <v>0</v>
      </c>
      <c r="R106" s="26">
        <f t="shared" ref="R106:R137" si="46">IF(G106&lt;=$D$14,I106+P106,0)</f>
        <v>0</v>
      </c>
      <c r="S106" s="16">
        <f t="shared" ref="S106:S137" si="47">IF(G106&lt;=$D$14,IF($D$37="льготное",K106,N105*($D$24+3%)/12),0)</f>
        <v>0</v>
      </c>
      <c r="T106" s="26">
        <f t="shared" si="35"/>
        <v>0</v>
      </c>
      <c r="U106" s="26">
        <f t="shared" si="36"/>
        <v>0</v>
      </c>
      <c r="V106" s="3">
        <f t="shared" si="37"/>
        <v>0</v>
      </c>
      <c r="W106" s="16">
        <f t="shared" si="38"/>
        <v>0</v>
      </c>
      <c r="X106" s="16">
        <f t="shared" si="39"/>
        <v>0</v>
      </c>
      <c r="Y106" s="26">
        <f t="shared" si="40"/>
        <v>0</v>
      </c>
      <c r="Z106" s="26">
        <f t="shared" si="41"/>
        <v>0</v>
      </c>
      <c r="AA106" s="1">
        <f t="shared" si="42"/>
        <v>0</v>
      </c>
    </row>
    <row r="107" spans="7:27" x14ac:dyDescent="0.25">
      <c r="G107">
        <v>98</v>
      </c>
      <c r="H107" s="21">
        <v>46813</v>
      </c>
      <c r="I107" s="16">
        <f t="shared" si="43"/>
        <v>0</v>
      </c>
      <c r="J107" s="16">
        <f t="shared" si="30"/>
        <v>0</v>
      </c>
      <c r="K107" s="16">
        <f t="shared" si="44"/>
        <v>0</v>
      </c>
      <c r="L107" s="26">
        <f t="shared" si="31"/>
        <v>0</v>
      </c>
      <c r="M107" s="26">
        <f t="shared" si="32"/>
        <v>0</v>
      </c>
      <c r="N107" s="16">
        <f t="shared" si="45"/>
        <v>0</v>
      </c>
      <c r="O107" s="16"/>
      <c r="P107" s="16">
        <f t="shared" ref="P107:P138" si="48">IF(G106&lt;=$D$14,Q106*$D$17,0)</f>
        <v>0</v>
      </c>
      <c r="Q107" s="16">
        <f t="shared" ref="Q107:Q138" si="49">IF(G106&lt;=$D$14,Q106-I107,0)</f>
        <v>0</v>
      </c>
      <c r="R107" s="26">
        <f t="shared" si="46"/>
        <v>0</v>
      </c>
      <c r="S107" s="16">
        <f t="shared" si="47"/>
        <v>0</v>
      </c>
      <c r="T107" s="26">
        <f t="shared" si="35"/>
        <v>0</v>
      </c>
      <c r="U107" s="26">
        <f t="shared" si="36"/>
        <v>0</v>
      </c>
      <c r="V107" s="3">
        <f t="shared" si="37"/>
        <v>0</v>
      </c>
      <c r="W107" s="16">
        <f t="shared" si="38"/>
        <v>0</v>
      </c>
      <c r="X107" s="16">
        <f t="shared" si="39"/>
        <v>0</v>
      </c>
      <c r="Y107" s="26">
        <f t="shared" si="40"/>
        <v>0</v>
      </c>
      <c r="Z107" s="26">
        <f t="shared" si="41"/>
        <v>0</v>
      </c>
      <c r="AA107" s="1">
        <f t="shared" si="42"/>
        <v>0</v>
      </c>
    </row>
    <row r="108" spans="7:27" x14ac:dyDescent="0.25">
      <c r="G108">
        <v>99</v>
      </c>
      <c r="H108" s="21">
        <v>46844</v>
      </c>
      <c r="I108" s="16">
        <f t="shared" si="43"/>
        <v>0</v>
      </c>
      <c r="J108" s="16">
        <f t="shared" si="30"/>
        <v>0</v>
      </c>
      <c r="K108" s="16">
        <f t="shared" si="44"/>
        <v>0</v>
      </c>
      <c r="L108" s="26">
        <f t="shared" si="31"/>
        <v>0</v>
      </c>
      <c r="M108" s="26">
        <f t="shared" si="32"/>
        <v>0</v>
      </c>
      <c r="N108" s="16">
        <f t="shared" si="45"/>
        <v>0</v>
      </c>
      <c r="O108" s="16"/>
      <c r="P108" s="16">
        <f t="shared" si="48"/>
        <v>0</v>
      </c>
      <c r="Q108" s="16">
        <f t="shared" si="49"/>
        <v>0</v>
      </c>
      <c r="R108" s="26">
        <f t="shared" si="46"/>
        <v>0</v>
      </c>
      <c r="S108" s="16">
        <f t="shared" si="47"/>
        <v>0</v>
      </c>
      <c r="T108" s="26">
        <f t="shared" si="35"/>
        <v>0</v>
      </c>
      <c r="U108" s="26">
        <f t="shared" si="36"/>
        <v>0</v>
      </c>
      <c r="V108" s="3">
        <f t="shared" si="37"/>
        <v>0</v>
      </c>
      <c r="W108" s="16">
        <f t="shared" si="38"/>
        <v>0</v>
      </c>
      <c r="X108" s="16">
        <f t="shared" si="39"/>
        <v>0</v>
      </c>
      <c r="Y108" s="26">
        <f t="shared" si="40"/>
        <v>0</v>
      </c>
      <c r="Z108" s="26">
        <f t="shared" si="41"/>
        <v>0</v>
      </c>
      <c r="AA108" s="1">
        <f t="shared" si="42"/>
        <v>0</v>
      </c>
    </row>
    <row r="109" spans="7:27" x14ac:dyDescent="0.25">
      <c r="G109">
        <v>100</v>
      </c>
      <c r="H109" s="21">
        <v>46874</v>
      </c>
      <c r="I109" s="16">
        <f t="shared" si="43"/>
        <v>0</v>
      </c>
      <c r="J109" s="16">
        <f t="shared" si="30"/>
        <v>0</v>
      </c>
      <c r="K109" s="16">
        <f t="shared" si="44"/>
        <v>0</v>
      </c>
      <c r="L109" s="26">
        <f t="shared" si="31"/>
        <v>0</v>
      </c>
      <c r="M109" s="26">
        <f t="shared" si="32"/>
        <v>0</v>
      </c>
      <c r="N109" s="16">
        <f t="shared" si="45"/>
        <v>0</v>
      </c>
      <c r="O109" s="16"/>
      <c r="P109" s="16">
        <f t="shared" si="48"/>
        <v>0</v>
      </c>
      <c r="Q109" s="16">
        <f t="shared" si="49"/>
        <v>0</v>
      </c>
      <c r="R109" s="26">
        <f t="shared" si="46"/>
        <v>0</v>
      </c>
      <c r="S109" s="16">
        <f t="shared" si="47"/>
        <v>0</v>
      </c>
      <c r="T109" s="26">
        <f t="shared" si="35"/>
        <v>0</v>
      </c>
      <c r="U109" s="26">
        <f t="shared" si="36"/>
        <v>0</v>
      </c>
      <c r="V109" s="3">
        <f t="shared" si="37"/>
        <v>0</v>
      </c>
      <c r="W109" s="16">
        <f t="shared" si="38"/>
        <v>0</v>
      </c>
      <c r="X109" s="16">
        <f t="shared" si="39"/>
        <v>0</v>
      </c>
      <c r="Y109" s="26">
        <f t="shared" si="40"/>
        <v>0</v>
      </c>
      <c r="Z109" s="26">
        <f t="shared" si="41"/>
        <v>0</v>
      </c>
      <c r="AA109" s="1">
        <f t="shared" si="42"/>
        <v>0</v>
      </c>
    </row>
    <row r="110" spans="7:27" x14ac:dyDescent="0.25">
      <c r="G110">
        <v>101</v>
      </c>
      <c r="H110" s="21">
        <v>46905</v>
      </c>
      <c r="I110" s="16">
        <f t="shared" si="43"/>
        <v>0</v>
      </c>
      <c r="J110" s="16">
        <f t="shared" si="30"/>
        <v>0</v>
      </c>
      <c r="K110" s="16">
        <f t="shared" si="44"/>
        <v>0</v>
      </c>
      <c r="L110" s="26">
        <f t="shared" si="31"/>
        <v>0</v>
      </c>
      <c r="M110" s="26">
        <f t="shared" si="32"/>
        <v>0</v>
      </c>
      <c r="N110" s="16">
        <f t="shared" si="45"/>
        <v>0</v>
      </c>
      <c r="O110" s="16"/>
      <c r="P110" s="16">
        <f t="shared" si="48"/>
        <v>0</v>
      </c>
      <c r="Q110" s="16">
        <f t="shared" si="49"/>
        <v>0</v>
      </c>
      <c r="R110" s="26">
        <f t="shared" si="46"/>
        <v>0</v>
      </c>
      <c r="S110" s="16">
        <f t="shared" si="47"/>
        <v>0</v>
      </c>
      <c r="T110" s="26">
        <f t="shared" si="35"/>
        <v>0</v>
      </c>
      <c r="U110" s="26">
        <f t="shared" si="36"/>
        <v>0</v>
      </c>
      <c r="V110" s="3">
        <f t="shared" si="37"/>
        <v>0</v>
      </c>
      <c r="W110" s="16">
        <f t="shared" si="38"/>
        <v>0</v>
      </c>
      <c r="X110" s="16">
        <f t="shared" si="39"/>
        <v>0</v>
      </c>
      <c r="Y110" s="26">
        <f t="shared" si="40"/>
        <v>0</v>
      </c>
      <c r="Z110" s="26">
        <f t="shared" si="41"/>
        <v>0</v>
      </c>
      <c r="AA110" s="1">
        <f t="shared" si="42"/>
        <v>0</v>
      </c>
    </row>
    <row r="111" spans="7:27" x14ac:dyDescent="0.25">
      <c r="G111">
        <v>102</v>
      </c>
      <c r="H111" s="21">
        <v>46935</v>
      </c>
      <c r="I111" s="16">
        <f t="shared" si="43"/>
        <v>0</v>
      </c>
      <c r="J111" s="16">
        <f t="shared" si="30"/>
        <v>0</v>
      </c>
      <c r="K111" s="16">
        <f t="shared" si="44"/>
        <v>0</v>
      </c>
      <c r="L111" s="26">
        <f t="shared" si="31"/>
        <v>0</v>
      </c>
      <c r="M111" s="26">
        <f t="shared" si="32"/>
        <v>0</v>
      </c>
      <c r="N111" s="16">
        <f t="shared" si="45"/>
        <v>0</v>
      </c>
      <c r="O111" s="16"/>
      <c r="P111" s="16">
        <f t="shared" si="48"/>
        <v>0</v>
      </c>
      <c r="Q111" s="16">
        <f t="shared" si="49"/>
        <v>0</v>
      </c>
      <c r="R111" s="26">
        <f t="shared" si="46"/>
        <v>0</v>
      </c>
      <c r="S111" s="16">
        <f t="shared" si="47"/>
        <v>0</v>
      </c>
      <c r="T111" s="26">
        <f t="shared" si="35"/>
        <v>0</v>
      </c>
      <c r="U111" s="26">
        <f t="shared" si="36"/>
        <v>0</v>
      </c>
      <c r="V111" s="3">
        <f t="shared" si="37"/>
        <v>0</v>
      </c>
      <c r="W111" s="16">
        <f t="shared" si="38"/>
        <v>0</v>
      </c>
      <c r="X111" s="16">
        <f t="shared" si="39"/>
        <v>0</v>
      </c>
      <c r="Y111" s="26">
        <f t="shared" si="40"/>
        <v>0</v>
      </c>
      <c r="Z111" s="26">
        <f t="shared" si="41"/>
        <v>0</v>
      </c>
      <c r="AA111" s="1">
        <f t="shared" si="42"/>
        <v>0</v>
      </c>
    </row>
    <row r="112" spans="7:27" x14ac:dyDescent="0.25">
      <c r="G112">
        <v>103</v>
      </c>
      <c r="H112" s="21">
        <v>46966</v>
      </c>
      <c r="I112" s="16">
        <f t="shared" si="43"/>
        <v>0</v>
      </c>
      <c r="J112" s="16">
        <f t="shared" si="30"/>
        <v>0</v>
      </c>
      <c r="K112" s="16">
        <f t="shared" si="44"/>
        <v>0</v>
      </c>
      <c r="L112" s="26">
        <f t="shared" si="31"/>
        <v>0</v>
      </c>
      <c r="M112" s="26">
        <f t="shared" si="32"/>
        <v>0</v>
      </c>
      <c r="N112" s="16">
        <f t="shared" si="45"/>
        <v>0</v>
      </c>
      <c r="O112" s="16"/>
      <c r="P112" s="16">
        <f t="shared" si="48"/>
        <v>0</v>
      </c>
      <c r="Q112" s="16">
        <f t="shared" si="49"/>
        <v>0</v>
      </c>
      <c r="R112" s="26">
        <f t="shared" si="46"/>
        <v>0</v>
      </c>
      <c r="S112" s="16">
        <f t="shared" si="47"/>
        <v>0</v>
      </c>
      <c r="T112" s="26">
        <f t="shared" si="35"/>
        <v>0</v>
      </c>
      <c r="U112" s="26">
        <f t="shared" si="36"/>
        <v>0</v>
      </c>
      <c r="V112" s="3">
        <f t="shared" si="37"/>
        <v>0</v>
      </c>
      <c r="W112" s="16">
        <f t="shared" si="38"/>
        <v>0</v>
      </c>
      <c r="X112" s="16">
        <f t="shared" si="39"/>
        <v>0</v>
      </c>
      <c r="Y112" s="26">
        <f t="shared" si="40"/>
        <v>0</v>
      </c>
      <c r="Z112" s="26">
        <f t="shared" si="41"/>
        <v>0</v>
      </c>
      <c r="AA112" s="1">
        <f t="shared" si="42"/>
        <v>0</v>
      </c>
    </row>
    <row r="113" spans="7:27" x14ac:dyDescent="0.25">
      <c r="G113">
        <v>104</v>
      </c>
      <c r="H113" s="21">
        <v>46997</v>
      </c>
      <c r="I113" s="16">
        <f t="shared" si="43"/>
        <v>0</v>
      </c>
      <c r="J113" s="16">
        <f t="shared" si="30"/>
        <v>0</v>
      </c>
      <c r="K113" s="16">
        <f t="shared" si="44"/>
        <v>0</v>
      </c>
      <c r="L113" s="26">
        <f t="shared" si="31"/>
        <v>0</v>
      </c>
      <c r="M113" s="26">
        <f t="shared" si="32"/>
        <v>0</v>
      </c>
      <c r="N113" s="16">
        <f t="shared" si="45"/>
        <v>0</v>
      </c>
      <c r="O113" s="16"/>
      <c r="P113" s="16">
        <f t="shared" si="48"/>
        <v>0</v>
      </c>
      <c r="Q113" s="16">
        <f t="shared" si="49"/>
        <v>0</v>
      </c>
      <c r="R113" s="26">
        <f t="shared" si="46"/>
        <v>0</v>
      </c>
      <c r="S113" s="16">
        <f t="shared" si="47"/>
        <v>0</v>
      </c>
      <c r="T113" s="26">
        <f t="shared" si="35"/>
        <v>0</v>
      </c>
      <c r="U113" s="26">
        <f t="shared" si="36"/>
        <v>0</v>
      </c>
      <c r="V113" s="3">
        <f t="shared" si="37"/>
        <v>0</v>
      </c>
      <c r="W113" s="16">
        <f t="shared" si="38"/>
        <v>0</v>
      </c>
      <c r="X113" s="16">
        <f t="shared" si="39"/>
        <v>0</v>
      </c>
      <c r="Y113" s="26">
        <f t="shared" si="40"/>
        <v>0</v>
      </c>
      <c r="Z113" s="26">
        <f t="shared" si="41"/>
        <v>0</v>
      </c>
      <c r="AA113" s="1">
        <f t="shared" si="42"/>
        <v>0</v>
      </c>
    </row>
    <row r="114" spans="7:27" x14ac:dyDescent="0.25">
      <c r="G114">
        <v>105</v>
      </c>
      <c r="H114" s="21">
        <v>47027</v>
      </c>
      <c r="I114" s="16">
        <f t="shared" si="43"/>
        <v>0</v>
      </c>
      <c r="J114" s="16">
        <f t="shared" si="30"/>
        <v>0</v>
      </c>
      <c r="K114" s="16">
        <f t="shared" si="44"/>
        <v>0</v>
      </c>
      <c r="L114" s="26">
        <f t="shared" si="31"/>
        <v>0</v>
      </c>
      <c r="M114" s="26">
        <f t="shared" si="32"/>
        <v>0</v>
      </c>
      <c r="N114" s="16">
        <f t="shared" si="45"/>
        <v>0</v>
      </c>
      <c r="O114" s="16"/>
      <c r="P114" s="16">
        <f t="shared" si="48"/>
        <v>0</v>
      </c>
      <c r="Q114" s="16">
        <f t="shared" si="49"/>
        <v>0</v>
      </c>
      <c r="R114" s="26">
        <f t="shared" si="46"/>
        <v>0</v>
      </c>
      <c r="S114" s="16">
        <f t="shared" si="47"/>
        <v>0</v>
      </c>
      <c r="T114" s="26">
        <f t="shared" si="35"/>
        <v>0</v>
      </c>
      <c r="U114" s="26">
        <f t="shared" si="36"/>
        <v>0</v>
      </c>
      <c r="V114" s="3">
        <f t="shared" si="37"/>
        <v>0</v>
      </c>
      <c r="W114" s="16">
        <f t="shared" si="38"/>
        <v>0</v>
      </c>
      <c r="X114" s="16">
        <f t="shared" si="39"/>
        <v>0</v>
      </c>
      <c r="Y114" s="26">
        <f t="shared" si="40"/>
        <v>0</v>
      </c>
      <c r="Z114" s="26">
        <f t="shared" si="41"/>
        <v>0</v>
      </c>
      <c r="AA114" s="1">
        <f t="shared" si="42"/>
        <v>0</v>
      </c>
    </row>
    <row r="115" spans="7:27" x14ac:dyDescent="0.25">
      <c r="G115">
        <v>106</v>
      </c>
      <c r="H115" s="21">
        <v>47058</v>
      </c>
      <c r="I115" s="16">
        <f t="shared" si="43"/>
        <v>0</v>
      </c>
      <c r="J115" s="16">
        <f t="shared" si="30"/>
        <v>0</v>
      </c>
      <c r="K115" s="16">
        <f t="shared" si="44"/>
        <v>0</v>
      </c>
      <c r="L115" s="26">
        <f t="shared" si="31"/>
        <v>0</v>
      </c>
      <c r="M115" s="26">
        <f t="shared" si="32"/>
        <v>0</v>
      </c>
      <c r="N115" s="16">
        <f t="shared" si="45"/>
        <v>0</v>
      </c>
      <c r="O115" s="16"/>
      <c r="P115" s="16">
        <f t="shared" si="48"/>
        <v>0</v>
      </c>
      <c r="Q115" s="16">
        <f t="shared" si="49"/>
        <v>0</v>
      </c>
      <c r="R115" s="26">
        <f t="shared" si="46"/>
        <v>0</v>
      </c>
      <c r="S115" s="16">
        <f t="shared" si="47"/>
        <v>0</v>
      </c>
      <c r="T115" s="26">
        <f t="shared" si="35"/>
        <v>0</v>
      </c>
      <c r="U115" s="26">
        <f t="shared" si="36"/>
        <v>0</v>
      </c>
      <c r="V115" s="3">
        <f t="shared" si="37"/>
        <v>0</v>
      </c>
      <c r="W115" s="16">
        <f t="shared" si="38"/>
        <v>0</v>
      </c>
      <c r="X115" s="16">
        <f t="shared" si="39"/>
        <v>0</v>
      </c>
      <c r="Y115" s="26">
        <f t="shared" si="40"/>
        <v>0</v>
      </c>
      <c r="Z115" s="26">
        <f t="shared" si="41"/>
        <v>0</v>
      </c>
      <c r="AA115" s="1">
        <f t="shared" si="42"/>
        <v>0</v>
      </c>
    </row>
    <row r="116" spans="7:27" x14ac:dyDescent="0.25">
      <c r="G116">
        <v>107</v>
      </c>
      <c r="H116" s="21">
        <v>47088</v>
      </c>
      <c r="I116" s="16">
        <f t="shared" si="43"/>
        <v>0</v>
      </c>
      <c r="J116" s="16">
        <f t="shared" si="30"/>
        <v>0</v>
      </c>
      <c r="K116" s="16">
        <f t="shared" si="44"/>
        <v>0</v>
      </c>
      <c r="L116" s="26">
        <f t="shared" si="31"/>
        <v>0</v>
      </c>
      <c r="M116" s="26">
        <f t="shared" si="32"/>
        <v>0</v>
      </c>
      <c r="N116" s="16">
        <f t="shared" si="45"/>
        <v>0</v>
      </c>
      <c r="O116" s="16"/>
      <c r="P116" s="16">
        <f t="shared" si="48"/>
        <v>0</v>
      </c>
      <c r="Q116" s="16">
        <f t="shared" si="49"/>
        <v>0</v>
      </c>
      <c r="R116" s="26">
        <f t="shared" si="46"/>
        <v>0</v>
      </c>
      <c r="S116" s="16">
        <f t="shared" si="47"/>
        <v>0</v>
      </c>
      <c r="T116" s="26">
        <f t="shared" si="35"/>
        <v>0</v>
      </c>
      <c r="U116" s="26">
        <f t="shared" si="36"/>
        <v>0</v>
      </c>
      <c r="V116" s="3">
        <f t="shared" si="37"/>
        <v>0</v>
      </c>
      <c r="W116" s="16">
        <f t="shared" si="38"/>
        <v>0</v>
      </c>
      <c r="X116" s="16">
        <f t="shared" si="39"/>
        <v>0</v>
      </c>
      <c r="Y116" s="26">
        <f t="shared" si="40"/>
        <v>0</v>
      </c>
      <c r="Z116" s="26">
        <f t="shared" si="41"/>
        <v>0</v>
      </c>
      <c r="AA116" s="1">
        <f t="shared" si="42"/>
        <v>0</v>
      </c>
    </row>
    <row r="117" spans="7:27" x14ac:dyDescent="0.25">
      <c r="G117">
        <v>108</v>
      </c>
      <c r="H117" s="21">
        <v>47119</v>
      </c>
      <c r="I117" s="16">
        <f t="shared" si="43"/>
        <v>0</v>
      </c>
      <c r="J117" s="16">
        <f t="shared" si="30"/>
        <v>0</v>
      </c>
      <c r="K117" s="16">
        <f t="shared" si="44"/>
        <v>0</v>
      </c>
      <c r="L117" s="26">
        <f t="shared" si="31"/>
        <v>0</v>
      </c>
      <c r="M117" s="26">
        <f t="shared" si="32"/>
        <v>0</v>
      </c>
      <c r="N117" s="16">
        <f t="shared" si="45"/>
        <v>0</v>
      </c>
      <c r="O117" s="16"/>
      <c r="P117" s="16">
        <f t="shared" si="48"/>
        <v>0</v>
      </c>
      <c r="Q117" s="16">
        <f t="shared" si="49"/>
        <v>0</v>
      </c>
      <c r="R117" s="26">
        <f t="shared" si="46"/>
        <v>0</v>
      </c>
      <c r="S117" s="16">
        <f t="shared" si="47"/>
        <v>0</v>
      </c>
      <c r="T117" s="26">
        <f t="shared" si="35"/>
        <v>0</v>
      </c>
      <c r="U117" s="26">
        <f t="shared" si="36"/>
        <v>0</v>
      </c>
      <c r="V117" s="3">
        <f t="shared" si="37"/>
        <v>0</v>
      </c>
      <c r="W117" s="16">
        <f t="shared" si="38"/>
        <v>0</v>
      </c>
      <c r="X117" s="16">
        <f t="shared" si="39"/>
        <v>0</v>
      </c>
      <c r="Y117" s="26">
        <f t="shared" si="40"/>
        <v>0</v>
      </c>
      <c r="Z117" s="26">
        <f t="shared" si="41"/>
        <v>0</v>
      </c>
      <c r="AA117" s="1">
        <f t="shared" si="42"/>
        <v>0</v>
      </c>
    </row>
    <row r="118" spans="7:27" x14ac:dyDescent="0.25">
      <c r="G118">
        <v>109</v>
      </c>
      <c r="H118" s="21">
        <v>47150</v>
      </c>
      <c r="I118" s="16">
        <f t="shared" si="43"/>
        <v>0</v>
      </c>
      <c r="J118" s="16">
        <f t="shared" si="30"/>
        <v>0</v>
      </c>
      <c r="K118" s="16">
        <f t="shared" si="44"/>
        <v>0</v>
      </c>
      <c r="L118" s="26">
        <f t="shared" si="31"/>
        <v>0</v>
      </c>
      <c r="M118" s="26">
        <f t="shared" si="32"/>
        <v>0</v>
      </c>
      <c r="N118" s="16">
        <f t="shared" si="45"/>
        <v>0</v>
      </c>
      <c r="O118" s="16"/>
      <c r="P118" s="16">
        <f t="shared" si="48"/>
        <v>0</v>
      </c>
      <c r="Q118" s="16">
        <f t="shared" si="49"/>
        <v>0</v>
      </c>
      <c r="R118" s="26">
        <f t="shared" si="46"/>
        <v>0</v>
      </c>
      <c r="S118" s="16">
        <f t="shared" si="47"/>
        <v>0</v>
      </c>
      <c r="T118" s="26">
        <f t="shared" si="35"/>
        <v>0</v>
      </c>
      <c r="U118" s="26">
        <f t="shared" si="36"/>
        <v>0</v>
      </c>
      <c r="V118" s="3">
        <f t="shared" si="37"/>
        <v>0</v>
      </c>
      <c r="W118" s="16">
        <f t="shared" si="38"/>
        <v>0</v>
      </c>
      <c r="X118" s="16">
        <f t="shared" si="39"/>
        <v>0</v>
      </c>
      <c r="Y118" s="26">
        <f t="shared" si="40"/>
        <v>0</v>
      </c>
      <c r="Z118" s="26">
        <f t="shared" si="41"/>
        <v>0</v>
      </c>
      <c r="AA118" s="1">
        <f t="shared" si="42"/>
        <v>0</v>
      </c>
    </row>
    <row r="119" spans="7:27" x14ac:dyDescent="0.25">
      <c r="G119">
        <v>110</v>
      </c>
      <c r="H119" s="21">
        <v>47178</v>
      </c>
      <c r="I119" s="16">
        <f t="shared" si="43"/>
        <v>0</v>
      </c>
      <c r="J119" s="16">
        <f t="shared" si="30"/>
        <v>0</v>
      </c>
      <c r="K119" s="16">
        <f t="shared" si="44"/>
        <v>0</v>
      </c>
      <c r="L119" s="26">
        <f t="shared" si="31"/>
        <v>0</v>
      </c>
      <c r="M119" s="26">
        <f t="shared" si="32"/>
        <v>0</v>
      </c>
      <c r="N119" s="16">
        <f t="shared" si="45"/>
        <v>0</v>
      </c>
      <c r="O119" s="16"/>
      <c r="P119" s="16">
        <f t="shared" si="48"/>
        <v>0</v>
      </c>
      <c r="Q119" s="16">
        <f t="shared" si="49"/>
        <v>0</v>
      </c>
      <c r="R119" s="26">
        <f t="shared" si="46"/>
        <v>0</v>
      </c>
      <c r="S119" s="16">
        <f t="shared" si="47"/>
        <v>0</v>
      </c>
      <c r="T119" s="26">
        <f t="shared" si="35"/>
        <v>0</v>
      </c>
      <c r="U119" s="26">
        <f t="shared" si="36"/>
        <v>0</v>
      </c>
      <c r="V119" s="3">
        <f t="shared" si="37"/>
        <v>0</v>
      </c>
      <c r="W119" s="16">
        <f t="shared" si="38"/>
        <v>0</v>
      </c>
      <c r="X119" s="16">
        <f t="shared" si="39"/>
        <v>0</v>
      </c>
      <c r="Y119" s="26">
        <f t="shared" si="40"/>
        <v>0</v>
      </c>
      <c r="Z119" s="26">
        <f t="shared" si="41"/>
        <v>0</v>
      </c>
      <c r="AA119" s="1">
        <f t="shared" si="42"/>
        <v>0</v>
      </c>
    </row>
    <row r="120" spans="7:27" x14ac:dyDescent="0.25">
      <c r="G120">
        <v>111</v>
      </c>
      <c r="H120" s="21">
        <v>47209</v>
      </c>
      <c r="I120" s="16">
        <f t="shared" si="43"/>
        <v>0</v>
      </c>
      <c r="J120" s="16">
        <f t="shared" si="30"/>
        <v>0</v>
      </c>
      <c r="K120" s="16">
        <f t="shared" si="44"/>
        <v>0</v>
      </c>
      <c r="L120" s="26">
        <f t="shared" si="31"/>
        <v>0</v>
      </c>
      <c r="M120" s="26">
        <f t="shared" si="32"/>
        <v>0</v>
      </c>
      <c r="N120" s="16">
        <f t="shared" si="45"/>
        <v>0</v>
      </c>
      <c r="O120" s="16"/>
      <c r="P120" s="16">
        <f t="shared" si="48"/>
        <v>0</v>
      </c>
      <c r="Q120" s="16">
        <f t="shared" si="49"/>
        <v>0</v>
      </c>
      <c r="R120" s="26">
        <f t="shared" si="46"/>
        <v>0</v>
      </c>
      <c r="S120" s="16">
        <f t="shared" si="47"/>
        <v>0</v>
      </c>
      <c r="T120" s="26">
        <f t="shared" si="35"/>
        <v>0</v>
      </c>
      <c r="U120" s="26">
        <f t="shared" si="36"/>
        <v>0</v>
      </c>
      <c r="V120" s="3">
        <f t="shared" si="37"/>
        <v>0</v>
      </c>
      <c r="W120" s="16">
        <f t="shared" si="38"/>
        <v>0</v>
      </c>
      <c r="X120" s="16">
        <f t="shared" si="39"/>
        <v>0</v>
      </c>
      <c r="Y120" s="26">
        <f t="shared" si="40"/>
        <v>0</v>
      </c>
      <c r="Z120" s="26">
        <f t="shared" si="41"/>
        <v>0</v>
      </c>
      <c r="AA120" s="1">
        <f t="shared" si="42"/>
        <v>0</v>
      </c>
    </row>
    <row r="121" spans="7:27" x14ac:dyDescent="0.25">
      <c r="G121">
        <v>112</v>
      </c>
      <c r="H121" s="21">
        <v>47239</v>
      </c>
      <c r="I121" s="16">
        <f t="shared" si="43"/>
        <v>0</v>
      </c>
      <c r="J121" s="16">
        <f t="shared" si="30"/>
        <v>0</v>
      </c>
      <c r="K121" s="16">
        <f t="shared" si="44"/>
        <v>0</v>
      </c>
      <c r="L121" s="26">
        <f t="shared" si="31"/>
        <v>0</v>
      </c>
      <c r="M121" s="26">
        <f t="shared" si="32"/>
        <v>0</v>
      </c>
      <c r="N121" s="16">
        <f t="shared" si="45"/>
        <v>0</v>
      </c>
      <c r="O121" s="16"/>
      <c r="P121" s="16">
        <f t="shared" si="48"/>
        <v>0</v>
      </c>
      <c r="Q121" s="16">
        <f t="shared" si="49"/>
        <v>0</v>
      </c>
      <c r="R121" s="26">
        <f t="shared" si="46"/>
        <v>0</v>
      </c>
      <c r="S121" s="16">
        <f t="shared" si="47"/>
        <v>0</v>
      </c>
      <c r="T121" s="26">
        <f t="shared" si="35"/>
        <v>0</v>
      </c>
      <c r="U121" s="26">
        <f t="shared" si="36"/>
        <v>0</v>
      </c>
      <c r="V121" s="3">
        <f t="shared" si="37"/>
        <v>0</v>
      </c>
      <c r="W121" s="16">
        <f t="shared" si="38"/>
        <v>0</v>
      </c>
      <c r="X121" s="16">
        <f t="shared" si="39"/>
        <v>0</v>
      </c>
      <c r="Y121" s="26">
        <f t="shared" si="40"/>
        <v>0</v>
      </c>
      <c r="Z121" s="26">
        <f t="shared" si="41"/>
        <v>0</v>
      </c>
      <c r="AA121" s="1">
        <f t="shared" si="42"/>
        <v>0</v>
      </c>
    </row>
    <row r="122" spans="7:27" x14ac:dyDescent="0.25">
      <c r="G122">
        <v>113</v>
      </c>
      <c r="H122" s="21">
        <v>47270</v>
      </c>
      <c r="I122" s="16">
        <f t="shared" si="43"/>
        <v>0</v>
      </c>
      <c r="J122" s="16">
        <f t="shared" si="30"/>
        <v>0</v>
      </c>
      <c r="K122" s="16">
        <f t="shared" si="44"/>
        <v>0</v>
      </c>
      <c r="L122" s="26">
        <f t="shared" si="31"/>
        <v>0</v>
      </c>
      <c r="M122" s="26">
        <f t="shared" si="32"/>
        <v>0</v>
      </c>
      <c r="N122" s="16">
        <f t="shared" si="45"/>
        <v>0</v>
      </c>
      <c r="O122" s="16"/>
      <c r="P122" s="16">
        <f t="shared" si="48"/>
        <v>0</v>
      </c>
      <c r="Q122" s="16">
        <f t="shared" si="49"/>
        <v>0</v>
      </c>
      <c r="R122" s="26">
        <f t="shared" si="46"/>
        <v>0</v>
      </c>
      <c r="S122" s="16">
        <f t="shared" si="47"/>
        <v>0</v>
      </c>
      <c r="T122" s="26">
        <f t="shared" si="35"/>
        <v>0</v>
      </c>
      <c r="U122" s="26">
        <f t="shared" si="36"/>
        <v>0</v>
      </c>
      <c r="V122" s="3">
        <f t="shared" si="37"/>
        <v>0</v>
      </c>
      <c r="W122" s="16">
        <f t="shared" si="38"/>
        <v>0</v>
      </c>
      <c r="X122" s="16">
        <f t="shared" si="39"/>
        <v>0</v>
      </c>
      <c r="Y122" s="26">
        <f t="shared" si="40"/>
        <v>0</v>
      </c>
      <c r="Z122" s="26">
        <f t="shared" si="41"/>
        <v>0</v>
      </c>
      <c r="AA122" s="1">
        <f t="shared" si="42"/>
        <v>0</v>
      </c>
    </row>
    <row r="123" spans="7:27" x14ac:dyDescent="0.25">
      <c r="G123">
        <v>114</v>
      </c>
      <c r="H123" s="21">
        <v>47300</v>
      </c>
      <c r="I123" s="16">
        <f t="shared" si="43"/>
        <v>0</v>
      </c>
      <c r="J123" s="16">
        <f t="shared" si="30"/>
        <v>0</v>
      </c>
      <c r="K123" s="16">
        <f t="shared" si="44"/>
        <v>0</v>
      </c>
      <c r="L123" s="26">
        <f t="shared" si="31"/>
        <v>0</v>
      </c>
      <c r="M123" s="26">
        <f t="shared" si="32"/>
        <v>0</v>
      </c>
      <c r="N123" s="16">
        <f t="shared" si="45"/>
        <v>0</v>
      </c>
      <c r="O123" s="16"/>
      <c r="P123" s="16">
        <f t="shared" si="48"/>
        <v>0</v>
      </c>
      <c r="Q123" s="16">
        <f t="shared" si="49"/>
        <v>0</v>
      </c>
      <c r="R123" s="26">
        <f t="shared" si="46"/>
        <v>0</v>
      </c>
      <c r="S123" s="16">
        <f t="shared" si="47"/>
        <v>0</v>
      </c>
      <c r="T123" s="26">
        <f t="shared" si="35"/>
        <v>0</v>
      </c>
      <c r="U123" s="26">
        <f t="shared" si="36"/>
        <v>0</v>
      </c>
      <c r="V123" s="3">
        <f t="shared" si="37"/>
        <v>0</v>
      </c>
      <c r="W123" s="16">
        <f t="shared" si="38"/>
        <v>0</v>
      </c>
      <c r="X123" s="16">
        <f t="shared" si="39"/>
        <v>0</v>
      </c>
      <c r="Y123" s="26">
        <f t="shared" si="40"/>
        <v>0</v>
      </c>
      <c r="Z123" s="26">
        <f t="shared" si="41"/>
        <v>0</v>
      </c>
      <c r="AA123" s="1">
        <f t="shared" si="42"/>
        <v>0</v>
      </c>
    </row>
    <row r="124" spans="7:27" x14ac:dyDescent="0.25">
      <c r="G124">
        <v>115</v>
      </c>
      <c r="H124" s="21">
        <v>47331</v>
      </c>
      <c r="I124" s="16">
        <f t="shared" si="43"/>
        <v>0</v>
      </c>
      <c r="J124" s="16">
        <f t="shared" si="30"/>
        <v>0</v>
      </c>
      <c r="K124" s="16">
        <f t="shared" si="44"/>
        <v>0</v>
      </c>
      <c r="L124" s="26">
        <f t="shared" si="31"/>
        <v>0</v>
      </c>
      <c r="M124" s="26">
        <f t="shared" si="32"/>
        <v>0</v>
      </c>
      <c r="N124" s="16">
        <f t="shared" si="45"/>
        <v>0</v>
      </c>
      <c r="O124" s="16"/>
      <c r="P124" s="16">
        <f t="shared" si="48"/>
        <v>0</v>
      </c>
      <c r="Q124" s="16">
        <f t="shared" si="49"/>
        <v>0</v>
      </c>
      <c r="R124" s="26">
        <f t="shared" si="46"/>
        <v>0</v>
      </c>
      <c r="S124" s="16">
        <f t="shared" si="47"/>
        <v>0</v>
      </c>
      <c r="T124" s="26">
        <f t="shared" si="35"/>
        <v>0</v>
      </c>
      <c r="U124" s="26">
        <f t="shared" si="36"/>
        <v>0</v>
      </c>
      <c r="V124" s="3">
        <f t="shared" si="37"/>
        <v>0</v>
      </c>
      <c r="W124" s="16">
        <f t="shared" si="38"/>
        <v>0</v>
      </c>
      <c r="X124" s="16">
        <f t="shared" si="39"/>
        <v>0</v>
      </c>
      <c r="Y124" s="26">
        <f t="shared" si="40"/>
        <v>0</v>
      </c>
      <c r="Z124" s="26">
        <f t="shared" si="41"/>
        <v>0</v>
      </c>
      <c r="AA124" s="1">
        <f t="shared" si="42"/>
        <v>0</v>
      </c>
    </row>
    <row r="125" spans="7:27" x14ac:dyDescent="0.25">
      <c r="G125">
        <v>116</v>
      </c>
      <c r="H125" s="21">
        <v>47362</v>
      </c>
      <c r="I125" s="16">
        <f t="shared" si="43"/>
        <v>0</v>
      </c>
      <c r="J125" s="16">
        <f t="shared" si="30"/>
        <v>0</v>
      </c>
      <c r="K125" s="16">
        <f t="shared" si="44"/>
        <v>0</v>
      </c>
      <c r="L125" s="26">
        <f t="shared" si="31"/>
        <v>0</v>
      </c>
      <c r="M125" s="26">
        <f t="shared" si="32"/>
        <v>0</v>
      </c>
      <c r="N125" s="16">
        <f t="shared" si="45"/>
        <v>0</v>
      </c>
      <c r="O125" s="16"/>
      <c r="P125" s="16">
        <f t="shared" si="48"/>
        <v>0</v>
      </c>
      <c r="Q125" s="16">
        <f t="shared" si="49"/>
        <v>0</v>
      </c>
      <c r="R125" s="26">
        <f t="shared" si="46"/>
        <v>0</v>
      </c>
      <c r="S125" s="16">
        <f t="shared" si="47"/>
        <v>0</v>
      </c>
      <c r="T125" s="26">
        <f t="shared" si="35"/>
        <v>0</v>
      </c>
      <c r="U125" s="26">
        <f t="shared" si="36"/>
        <v>0</v>
      </c>
      <c r="V125" s="3">
        <f t="shared" si="37"/>
        <v>0</v>
      </c>
      <c r="W125" s="16">
        <f t="shared" si="38"/>
        <v>0</v>
      </c>
      <c r="X125" s="16">
        <f t="shared" si="39"/>
        <v>0</v>
      </c>
      <c r="Y125" s="26">
        <f t="shared" si="40"/>
        <v>0</v>
      </c>
      <c r="Z125" s="26">
        <f t="shared" si="41"/>
        <v>0</v>
      </c>
      <c r="AA125" s="1">
        <f t="shared" si="42"/>
        <v>0</v>
      </c>
    </row>
    <row r="126" spans="7:27" x14ac:dyDescent="0.25">
      <c r="G126">
        <v>117</v>
      </c>
      <c r="H126" s="21">
        <v>47392</v>
      </c>
      <c r="I126" s="16">
        <f t="shared" si="43"/>
        <v>0</v>
      </c>
      <c r="J126" s="16">
        <f t="shared" si="30"/>
        <v>0</v>
      </c>
      <c r="K126" s="16">
        <f t="shared" si="44"/>
        <v>0</v>
      </c>
      <c r="L126" s="26">
        <f t="shared" si="31"/>
        <v>0</v>
      </c>
      <c r="M126" s="26">
        <f t="shared" si="32"/>
        <v>0</v>
      </c>
      <c r="N126" s="16">
        <f t="shared" si="45"/>
        <v>0</v>
      </c>
      <c r="O126" s="16"/>
      <c r="P126" s="16">
        <f t="shared" si="48"/>
        <v>0</v>
      </c>
      <c r="Q126" s="16">
        <f t="shared" si="49"/>
        <v>0</v>
      </c>
      <c r="R126" s="26">
        <f t="shared" si="46"/>
        <v>0</v>
      </c>
      <c r="S126" s="16">
        <f t="shared" si="47"/>
        <v>0</v>
      </c>
      <c r="T126" s="26">
        <f t="shared" si="35"/>
        <v>0</v>
      </c>
      <c r="U126" s="26">
        <f t="shared" si="36"/>
        <v>0</v>
      </c>
      <c r="V126" s="3">
        <f t="shared" si="37"/>
        <v>0</v>
      </c>
      <c r="W126" s="16">
        <f t="shared" si="38"/>
        <v>0</v>
      </c>
      <c r="X126" s="16">
        <f t="shared" si="39"/>
        <v>0</v>
      </c>
      <c r="Y126" s="26">
        <f t="shared" si="40"/>
        <v>0</v>
      </c>
      <c r="Z126" s="26">
        <f t="shared" si="41"/>
        <v>0</v>
      </c>
      <c r="AA126" s="1">
        <f t="shared" si="42"/>
        <v>0</v>
      </c>
    </row>
    <row r="127" spans="7:27" x14ac:dyDescent="0.25">
      <c r="G127">
        <v>118</v>
      </c>
      <c r="H127" s="21">
        <v>47423</v>
      </c>
      <c r="I127" s="16">
        <f t="shared" si="43"/>
        <v>0</v>
      </c>
      <c r="J127" s="16">
        <f t="shared" si="30"/>
        <v>0</v>
      </c>
      <c r="K127" s="16">
        <f t="shared" si="44"/>
        <v>0</v>
      </c>
      <c r="L127" s="26">
        <f t="shared" si="31"/>
        <v>0</v>
      </c>
      <c r="M127" s="26">
        <f t="shared" si="32"/>
        <v>0</v>
      </c>
      <c r="N127" s="16">
        <f t="shared" si="45"/>
        <v>0</v>
      </c>
      <c r="O127" s="16"/>
      <c r="P127" s="16">
        <f t="shared" si="48"/>
        <v>0</v>
      </c>
      <c r="Q127" s="16">
        <f t="shared" si="49"/>
        <v>0</v>
      </c>
      <c r="R127" s="26">
        <f t="shared" si="46"/>
        <v>0</v>
      </c>
      <c r="S127" s="16">
        <f t="shared" si="47"/>
        <v>0</v>
      </c>
      <c r="T127" s="26">
        <f t="shared" si="35"/>
        <v>0</v>
      </c>
      <c r="U127" s="26">
        <f t="shared" si="36"/>
        <v>0</v>
      </c>
      <c r="V127" s="3">
        <f t="shared" si="37"/>
        <v>0</v>
      </c>
      <c r="W127" s="16">
        <f t="shared" si="38"/>
        <v>0</v>
      </c>
      <c r="X127" s="16">
        <f t="shared" si="39"/>
        <v>0</v>
      </c>
      <c r="Y127" s="26">
        <f t="shared" si="40"/>
        <v>0</v>
      </c>
      <c r="Z127" s="26">
        <f t="shared" si="41"/>
        <v>0</v>
      </c>
      <c r="AA127" s="1">
        <f t="shared" si="42"/>
        <v>0</v>
      </c>
    </row>
    <row r="128" spans="7:27" x14ac:dyDescent="0.25">
      <c r="G128">
        <v>119</v>
      </c>
      <c r="H128" s="21">
        <v>47453</v>
      </c>
      <c r="I128" s="16">
        <f t="shared" si="43"/>
        <v>0</v>
      </c>
      <c r="J128" s="16">
        <f t="shared" si="30"/>
        <v>0</v>
      </c>
      <c r="K128" s="16">
        <f t="shared" si="44"/>
        <v>0</v>
      </c>
      <c r="L128" s="26">
        <f t="shared" si="31"/>
        <v>0</v>
      </c>
      <c r="M128" s="26">
        <f t="shared" si="32"/>
        <v>0</v>
      </c>
      <c r="N128" s="16">
        <f t="shared" si="45"/>
        <v>0</v>
      </c>
      <c r="O128" s="16"/>
      <c r="P128" s="16">
        <f t="shared" si="48"/>
        <v>0</v>
      </c>
      <c r="Q128" s="16">
        <f t="shared" si="49"/>
        <v>0</v>
      </c>
      <c r="R128" s="26">
        <f t="shared" si="46"/>
        <v>0</v>
      </c>
      <c r="S128" s="16">
        <f t="shared" si="47"/>
        <v>0</v>
      </c>
      <c r="T128" s="26">
        <f t="shared" si="35"/>
        <v>0</v>
      </c>
      <c r="U128" s="26">
        <f t="shared" si="36"/>
        <v>0</v>
      </c>
      <c r="V128" s="3">
        <f t="shared" si="37"/>
        <v>0</v>
      </c>
      <c r="W128" s="16">
        <f t="shared" si="38"/>
        <v>0</v>
      </c>
      <c r="X128" s="16">
        <f t="shared" si="39"/>
        <v>0</v>
      </c>
      <c r="Y128" s="26">
        <f t="shared" si="40"/>
        <v>0</v>
      </c>
      <c r="Z128" s="26">
        <f t="shared" si="41"/>
        <v>0</v>
      </c>
      <c r="AA128" s="1">
        <f t="shared" si="42"/>
        <v>0</v>
      </c>
    </row>
    <row r="129" spans="7:27" x14ac:dyDescent="0.25">
      <c r="G129">
        <v>120</v>
      </c>
      <c r="H129" s="21">
        <v>47484</v>
      </c>
      <c r="I129" s="16">
        <f t="shared" si="43"/>
        <v>0</v>
      </c>
      <c r="J129" s="16">
        <f t="shared" si="30"/>
        <v>0</v>
      </c>
      <c r="K129" s="16">
        <f t="shared" si="44"/>
        <v>0</v>
      </c>
      <c r="L129" s="26">
        <f t="shared" si="31"/>
        <v>0</v>
      </c>
      <c r="M129" s="26">
        <f t="shared" si="32"/>
        <v>0</v>
      </c>
      <c r="N129" s="16">
        <f t="shared" si="45"/>
        <v>0</v>
      </c>
      <c r="O129" s="16"/>
      <c r="P129" s="16">
        <f t="shared" si="48"/>
        <v>0</v>
      </c>
      <c r="Q129" s="16">
        <f t="shared" si="49"/>
        <v>0</v>
      </c>
      <c r="R129" s="26">
        <f t="shared" si="46"/>
        <v>0</v>
      </c>
      <c r="S129" s="16">
        <f t="shared" si="47"/>
        <v>0</v>
      </c>
      <c r="T129" s="26">
        <f t="shared" si="35"/>
        <v>0</v>
      </c>
      <c r="U129" s="26">
        <f t="shared" si="36"/>
        <v>0</v>
      </c>
      <c r="V129" s="3">
        <f t="shared" si="37"/>
        <v>0</v>
      </c>
      <c r="W129" s="16">
        <f t="shared" si="38"/>
        <v>0</v>
      </c>
      <c r="X129" s="16">
        <f t="shared" si="39"/>
        <v>0</v>
      </c>
      <c r="Y129" s="26">
        <f t="shared" si="40"/>
        <v>0</v>
      </c>
      <c r="Z129" s="26">
        <f t="shared" si="41"/>
        <v>0</v>
      </c>
      <c r="AA129" s="1">
        <f t="shared" si="42"/>
        <v>0</v>
      </c>
    </row>
    <row r="130" spans="7:27" x14ac:dyDescent="0.25">
      <c r="G130">
        <v>121</v>
      </c>
      <c r="H130" s="21">
        <v>47515</v>
      </c>
      <c r="I130" s="16">
        <f t="shared" si="43"/>
        <v>0</v>
      </c>
      <c r="J130" s="16">
        <f t="shared" si="30"/>
        <v>0</v>
      </c>
      <c r="K130" s="16">
        <f t="shared" si="44"/>
        <v>0</v>
      </c>
      <c r="L130" s="26">
        <f t="shared" si="31"/>
        <v>0</v>
      </c>
      <c r="M130" s="26">
        <f t="shared" si="32"/>
        <v>0</v>
      </c>
      <c r="N130" s="16">
        <f t="shared" si="45"/>
        <v>0</v>
      </c>
      <c r="O130" s="16"/>
      <c r="P130" s="16">
        <f t="shared" si="48"/>
        <v>0</v>
      </c>
      <c r="Q130" s="16">
        <f t="shared" si="49"/>
        <v>0</v>
      </c>
      <c r="R130" s="26">
        <f t="shared" si="46"/>
        <v>0</v>
      </c>
      <c r="S130" s="16">
        <f t="shared" si="47"/>
        <v>0</v>
      </c>
      <c r="T130" s="26">
        <f t="shared" si="35"/>
        <v>0</v>
      </c>
      <c r="U130" s="26">
        <f t="shared" si="36"/>
        <v>0</v>
      </c>
      <c r="V130" s="3">
        <f t="shared" si="37"/>
        <v>0</v>
      </c>
      <c r="W130" s="16">
        <f t="shared" si="38"/>
        <v>0</v>
      </c>
      <c r="X130" s="16">
        <f t="shared" si="39"/>
        <v>0</v>
      </c>
      <c r="Y130" s="26">
        <f t="shared" si="40"/>
        <v>0</v>
      </c>
      <c r="Z130" s="26">
        <f t="shared" si="41"/>
        <v>0</v>
      </c>
      <c r="AA130" s="1">
        <f t="shared" si="42"/>
        <v>0</v>
      </c>
    </row>
    <row r="131" spans="7:27" x14ac:dyDescent="0.25">
      <c r="G131">
        <v>122</v>
      </c>
      <c r="H131" s="21">
        <v>47543</v>
      </c>
      <c r="I131" s="16">
        <f t="shared" si="43"/>
        <v>0</v>
      </c>
      <c r="J131" s="16">
        <f t="shared" si="30"/>
        <v>0</v>
      </c>
      <c r="K131" s="16">
        <f t="shared" si="44"/>
        <v>0</v>
      </c>
      <c r="L131" s="26">
        <f t="shared" si="31"/>
        <v>0</v>
      </c>
      <c r="M131" s="26">
        <f t="shared" si="32"/>
        <v>0</v>
      </c>
      <c r="N131" s="16">
        <f t="shared" si="45"/>
        <v>0</v>
      </c>
      <c r="O131" s="16"/>
      <c r="P131" s="16">
        <f t="shared" si="48"/>
        <v>0</v>
      </c>
      <c r="Q131" s="16">
        <f t="shared" si="49"/>
        <v>0</v>
      </c>
      <c r="R131" s="26">
        <f t="shared" si="46"/>
        <v>0</v>
      </c>
      <c r="S131" s="16">
        <f t="shared" si="47"/>
        <v>0</v>
      </c>
      <c r="T131" s="26">
        <f t="shared" si="35"/>
        <v>0</v>
      </c>
      <c r="U131" s="26">
        <f t="shared" si="36"/>
        <v>0</v>
      </c>
      <c r="V131" s="3">
        <f t="shared" si="37"/>
        <v>0</v>
      </c>
      <c r="W131" s="16">
        <f t="shared" si="38"/>
        <v>0</v>
      </c>
      <c r="X131" s="16">
        <f t="shared" si="39"/>
        <v>0</v>
      </c>
      <c r="Y131" s="26">
        <f t="shared" si="40"/>
        <v>0</v>
      </c>
      <c r="Z131" s="26">
        <f t="shared" si="41"/>
        <v>0</v>
      </c>
      <c r="AA131" s="1">
        <f t="shared" si="42"/>
        <v>0</v>
      </c>
    </row>
    <row r="132" spans="7:27" x14ac:dyDescent="0.25">
      <c r="G132">
        <v>123</v>
      </c>
      <c r="H132" s="21">
        <v>47574</v>
      </c>
      <c r="I132" s="16">
        <f t="shared" si="43"/>
        <v>0</v>
      </c>
      <c r="J132" s="16">
        <f t="shared" si="30"/>
        <v>0</v>
      </c>
      <c r="K132" s="16">
        <f t="shared" si="44"/>
        <v>0</v>
      </c>
      <c r="L132" s="26">
        <f t="shared" si="31"/>
        <v>0</v>
      </c>
      <c r="M132" s="26">
        <f t="shared" si="32"/>
        <v>0</v>
      </c>
      <c r="N132" s="16">
        <f t="shared" si="45"/>
        <v>0</v>
      </c>
      <c r="O132" s="16"/>
      <c r="P132" s="16">
        <f t="shared" si="48"/>
        <v>0</v>
      </c>
      <c r="Q132" s="16">
        <f t="shared" si="49"/>
        <v>0</v>
      </c>
      <c r="R132" s="26">
        <f t="shared" si="46"/>
        <v>0</v>
      </c>
      <c r="S132" s="16">
        <f t="shared" si="47"/>
        <v>0</v>
      </c>
      <c r="T132" s="26">
        <f t="shared" si="35"/>
        <v>0</v>
      </c>
      <c r="U132" s="26">
        <f t="shared" si="36"/>
        <v>0</v>
      </c>
      <c r="V132" s="3">
        <f t="shared" si="37"/>
        <v>0</v>
      </c>
      <c r="W132" s="16">
        <f t="shared" si="38"/>
        <v>0</v>
      </c>
      <c r="X132" s="16">
        <f t="shared" si="39"/>
        <v>0</v>
      </c>
      <c r="Y132" s="26">
        <f t="shared" si="40"/>
        <v>0</v>
      </c>
      <c r="Z132" s="26">
        <f t="shared" si="41"/>
        <v>0</v>
      </c>
      <c r="AA132" s="1">
        <f t="shared" si="42"/>
        <v>0</v>
      </c>
    </row>
    <row r="133" spans="7:27" x14ac:dyDescent="0.25">
      <c r="G133">
        <v>124</v>
      </c>
      <c r="H133" s="21">
        <v>47604</v>
      </c>
      <c r="I133" s="16">
        <f t="shared" si="43"/>
        <v>0</v>
      </c>
      <c r="J133" s="16">
        <f t="shared" si="30"/>
        <v>0</v>
      </c>
      <c r="K133" s="16">
        <f t="shared" si="44"/>
        <v>0</v>
      </c>
      <c r="L133" s="26">
        <f t="shared" si="31"/>
        <v>0</v>
      </c>
      <c r="M133" s="26">
        <f t="shared" si="32"/>
        <v>0</v>
      </c>
      <c r="N133" s="16">
        <f t="shared" si="45"/>
        <v>0</v>
      </c>
      <c r="O133" s="16"/>
      <c r="P133" s="16">
        <f t="shared" si="48"/>
        <v>0</v>
      </c>
      <c r="Q133" s="16">
        <f t="shared" si="49"/>
        <v>0</v>
      </c>
      <c r="R133" s="26">
        <f t="shared" si="46"/>
        <v>0</v>
      </c>
      <c r="S133" s="16">
        <f t="shared" si="47"/>
        <v>0</v>
      </c>
      <c r="T133" s="26">
        <f t="shared" si="35"/>
        <v>0</v>
      </c>
      <c r="U133" s="26">
        <f t="shared" si="36"/>
        <v>0</v>
      </c>
      <c r="V133" s="3">
        <f t="shared" si="37"/>
        <v>0</v>
      </c>
      <c r="W133" s="16">
        <f t="shared" si="38"/>
        <v>0</v>
      </c>
      <c r="X133" s="16">
        <f t="shared" si="39"/>
        <v>0</v>
      </c>
      <c r="Y133" s="26">
        <f t="shared" si="40"/>
        <v>0</v>
      </c>
      <c r="Z133" s="26">
        <f t="shared" si="41"/>
        <v>0</v>
      </c>
      <c r="AA133" s="1">
        <f t="shared" si="42"/>
        <v>0</v>
      </c>
    </row>
    <row r="134" spans="7:27" x14ac:dyDescent="0.25">
      <c r="G134">
        <v>125</v>
      </c>
      <c r="H134" s="21">
        <v>47635</v>
      </c>
      <c r="I134" s="16">
        <f t="shared" si="43"/>
        <v>0</v>
      </c>
      <c r="J134" s="16">
        <f t="shared" si="30"/>
        <v>0</v>
      </c>
      <c r="K134" s="16">
        <f t="shared" si="44"/>
        <v>0</v>
      </c>
      <c r="L134" s="26">
        <f t="shared" si="31"/>
        <v>0</v>
      </c>
      <c r="M134" s="26">
        <f t="shared" si="32"/>
        <v>0</v>
      </c>
      <c r="N134" s="16">
        <f t="shared" si="45"/>
        <v>0</v>
      </c>
      <c r="O134" s="16"/>
      <c r="P134" s="16">
        <f t="shared" si="48"/>
        <v>0</v>
      </c>
      <c r="Q134" s="16">
        <f t="shared" si="49"/>
        <v>0</v>
      </c>
      <c r="R134" s="26">
        <f t="shared" si="46"/>
        <v>0</v>
      </c>
      <c r="S134" s="16">
        <f t="shared" si="47"/>
        <v>0</v>
      </c>
      <c r="T134" s="26">
        <f t="shared" si="35"/>
        <v>0</v>
      </c>
      <c r="U134" s="26">
        <f t="shared" si="36"/>
        <v>0</v>
      </c>
      <c r="V134" s="3">
        <f t="shared" si="37"/>
        <v>0</v>
      </c>
      <c r="W134" s="16">
        <f t="shared" si="38"/>
        <v>0</v>
      </c>
      <c r="X134" s="16">
        <f t="shared" si="39"/>
        <v>0</v>
      </c>
      <c r="Y134" s="26">
        <f t="shared" si="40"/>
        <v>0</v>
      </c>
      <c r="Z134" s="26">
        <f t="shared" si="41"/>
        <v>0</v>
      </c>
      <c r="AA134" s="1">
        <f t="shared" si="42"/>
        <v>0</v>
      </c>
    </row>
    <row r="135" spans="7:27" x14ac:dyDescent="0.25">
      <c r="G135">
        <v>126</v>
      </c>
      <c r="H135" s="21">
        <v>47665</v>
      </c>
      <c r="I135" s="16">
        <f t="shared" si="43"/>
        <v>0</v>
      </c>
      <c r="J135" s="16">
        <f t="shared" si="30"/>
        <v>0</v>
      </c>
      <c r="K135" s="16">
        <f t="shared" si="44"/>
        <v>0</v>
      </c>
      <c r="L135" s="26">
        <f t="shared" si="31"/>
        <v>0</v>
      </c>
      <c r="M135" s="26">
        <f t="shared" si="32"/>
        <v>0</v>
      </c>
      <c r="N135" s="16">
        <f t="shared" si="45"/>
        <v>0</v>
      </c>
      <c r="O135" s="16"/>
      <c r="P135" s="16">
        <f t="shared" si="48"/>
        <v>0</v>
      </c>
      <c r="Q135" s="16">
        <f t="shared" si="49"/>
        <v>0</v>
      </c>
      <c r="R135" s="26">
        <f t="shared" si="46"/>
        <v>0</v>
      </c>
      <c r="S135" s="16">
        <f t="shared" si="47"/>
        <v>0</v>
      </c>
      <c r="T135" s="26">
        <f t="shared" si="35"/>
        <v>0</v>
      </c>
      <c r="U135" s="26">
        <f t="shared" si="36"/>
        <v>0</v>
      </c>
      <c r="V135" s="3">
        <f t="shared" si="37"/>
        <v>0</v>
      </c>
      <c r="W135" s="16">
        <f t="shared" si="38"/>
        <v>0</v>
      </c>
      <c r="X135" s="16">
        <f t="shared" si="39"/>
        <v>0</v>
      </c>
      <c r="Y135" s="26">
        <f t="shared" si="40"/>
        <v>0</v>
      </c>
      <c r="Z135" s="26">
        <f t="shared" si="41"/>
        <v>0</v>
      </c>
      <c r="AA135" s="1">
        <f t="shared" si="42"/>
        <v>0</v>
      </c>
    </row>
    <row r="136" spans="7:27" x14ac:dyDescent="0.25">
      <c r="G136">
        <v>127</v>
      </c>
      <c r="H136" s="21">
        <v>47696</v>
      </c>
      <c r="I136" s="16">
        <f t="shared" si="43"/>
        <v>0</v>
      </c>
      <c r="J136" s="16">
        <f t="shared" si="30"/>
        <v>0</v>
      </c>
      <c r="K136" s="16">
        <f t="shared" si="44"/>
        <v>0</v>
      </c>
      <c r="L136" s="26">
        <f t="shared" si="31"/>
        <v>0</v>
      </c>
      <c r="M136" s="26">
        <f t="shared" si="32"/>
        <v>0</v>
      </c>
      <c r="N136" s="16">
        <f t="shared" si="45"/>
        <v>0</v>
      </c>
      <c r="O136" s="16"/>
      <c r="P136" s="16">
        <f t="shared" si="48"/>
        <v>0</v>
      </c>
      <c r="Q136" s="16">
        <f t="shared" si="49"/>
        <v>0</v>
      </c>
      <c r="R136" s="26">
        <f t="shared" si="46"/>
        <v>0</v>
      </c>
      <c r="S136" s="16">
        <f t="shared" si="47"/>
        <v>0</v>
      </c>
      <c r="T136" s="26">
        <f t="shared" si="35"/>
        <v>0</v>
      </c>
      <c r="U136" s="26">
        <f t="shared" si="36"/>
        <v>0</v>
      </c>
      <c r="V136" s="3">
        <f t="shared" si="37"/>
        <v>0</v>
      </c>
      <c r="W136" s="16">
        <f t="shared" si="38"/>
        <v>0</v>
      </c>
      <c r="X136" s="16">
        <f t="shared" si="39"/>
        <v>0</v>
      </c>
      <c r="Y136" s="26">
        <f t="shared" si="40"/>
        <v>0</v>
      </c>
      <c r="Z136" s="26">
        <f t="shared" si="41"/>
        <v>0</v>
      </c>
      <c r="AA136" s="1">
        <f t="shared" si="42"/>
        <v>0</v>
      </c>
    </row>
    <row r="137" spans="7:27" x14ac:dyDescent="0.25">
      <c r="G137">
        <v>128</v>
      </c>
      <c r="H137" s="21">
        <v>47727</v>
      </c>
      <c r="I137" s="16">
        <f t="shared" si="43"/>
        <v>0</v>
      </c>
      <c r="J137" s="16">
        <f t="shared" si="30"/>
        <v>0</v>
      </c>
      <c r="K137" s="16">
        <f t="shared" si="44"/>
        <v>0</v>
      </c>
      <c r="L137" s="26">
        <f t="shared" si="31"/>
        <v>0</v>
      </c>
      <c r="M137" s="26">
        <f t="shared" si="32"/>
        <v>0</v>
      </c>
      <c r="N137" s="16">
        <f t="shared" si="45"/>
        <v>0</v>
      </c>
      <c r="O137" s="16"/>
      <c r="P137" s="16">
        <f t="shared" si="48"/>
        <v>0</v>
      </c>
      <c r="Q137" s="16">
        <f t="shared" si="49"/>
        <v>0</v>
      </c>
      <c r="R137" s="26">
        <f t="shared" si="46"/>
        <v>0</v>
      </c>
      <c r="S137" s="16">
        <f t="shared" si="47"/>
        <v>0</v>
      </c>
      <c r="T137" s="26">
        <f t="shared" si="35"/>
        <v>0</v>
      </c>
      <c r="U137" s="26">
        <f t="shared" si="36"/>
        <v>0</v>
      </c>
      <c r="V137" s="3">
        <f t="shared" si="37"/>
        <v>0</v>
      </c>
      <c r="W137" s="16">
        <f t="shared" si="38"/>
        <v>0</v>
      </c>
      <c r="X137" s="16">
        <f t="shared" si="39"/>
        <v>0</v>
      </c>
      <c r="Y137" s="26">
        <f t="shared" si="40"/>
        <v>0</v>
      </c>
      <c r="Z137" s="26">
        <f t="shared" si="41"/>
        <v>0</v>
      </c>
      <c r="AA137" s="1">
        <f t="shared" si="42"/>
        <v>0</v>
      </c>
    </row>
    <row r="138" spans="7:27" x14ac:dyDescent="0.25">
      <c r="G138">
        <v>129</v>
      </c>
      <c r="H138" s="21">
        <v>47757</v>
      </c>
      <c r="I138" s="16">
        <f t="shared" ref="I138:I169" si="50">IF(G138&lt;=$D$14,$N$9/$D$14*1/(1+$D$20),0)</f>
        <v>0</v>
      </c>
      <c r="J138" s="16">
        <f t="shared" si="30"/>
        <v>0</v>
      </c>
      <c r="K138" s="16">
        <f t="shared" ref="K138:K169" si="51">IF(G138&lt;=$D$14,N137*$D$17,0)</f>
        <v>0</v>
      </c>
      <c r="L138" s="26">
        <f t="shared" si="31"/>
        <v>0</v>
      </c>
      <c r="M138" s="26">
        <f t="shared" si="32"/>
        <v>0</v>
      </c>
      <c r="N138" s="16">
        <f t="shared" ref="N138:N169" si="52">IF(G138&lt;=$D$14,N137-I138-J138,0)</f>
        <v>0</v>
      </c>
      <c r="O138" s="16"/>
      <c r="P138" s="16">
        <f t="shared" si="48"/>
        <v>0</v>
      </c>
      <c r="Q138" s="16">
        <f t="shared" si="49"/>
        <v>0</v>
      </c>
      <c r="R138" s="26">
        <f t="shared" ref="R138:R169" si="53">IF(G138&lt;=$D$14,I138+P138,0)</f>
        <v>0</v>
      </c>
      <c r="S138" s="16">
        <f t="shared" ref="S138:S169" si="54">IF(G138&lt;=$D$14,IF($D$37="льготное",K138,N137*($D$24+3%)/12),0)</f>
        <v>0</v>
      </c>
      <c r="T138" s="26">
        <f t="shared" si="35"/>
        <v>0</v>
      </c>
      <c r="U138" s="26">
        <f t="shared" si="36"/>
        <v>0</v>
      </c>
      <c r="V138" s="3">
        <f t="shared" si="37"/>
        <v>0</v>
      </c>
      <c r="W138" s="16">
        <f t="shared" si="38"/>
        <v>0</v>
      </c>
      <c r="X138" s="16">
        <f t="shared" si="39"/>
        <v>0</v>
      </c>
      <c r="Y138" s="26">
        <f t="shared" si="40"/>
        <v>0</v>
      </c>
      <c r="Z138" s="26">
        <f t="shared" si="41"/>
        <v>0</v>
      </c>
      <c r="AA138" s="1">
        <f t="shared" si="42"/>
        <v>0</v>
      </c>
    </row>
    <row r="139" spans="7:27" x14ac:dyDescent="0.25">
      <c r="G139">
        <v>130</v>
      </c>
      <c r="H139" s="21">
        <v>47788</v>
      </c>
      <c r="I139" s="16">
        <f t="shared" si="50"/>
        <v>0</v>
      </c>
      <c r="J139" s="16">
        <f t="shared" ref="J139:J189" si="55">IF(G139&lt;=$D$14,I139*$D$20,0)</f>
        <v>0</v>
      </c>
      <c r="K139" s="16">
        <f t="shared" si="51"/>
        <v>0</v>
      </c>
      <c r="L139" s="26">
        <f t="shared" ref="L139:L189" si="56">IF(G139&lt;=$D$14,SUM(I139:K139),0)</f>
        <v>0</v>
      </c>
      <c r="M139" s="26">
        <f t="shared" ref="M139:M189" si="57">L139+AA139</f>
        <v>0</v>
      </c>
      <c r="N139" s="16">
        <f t="shared" si="52"/>
        <v>0</v>
      </c>
      <c r="O139" s="16"/>
      <c r="P139" s="16">
        <f t="shared" ref="P139:P170" si="58">IF(G138&lt;=$D$14,Q138*$D$17,0)</f>
        <v>0</v>
      </c>
      <c r="Q139" s="16">
        <f t="shared" ref="Q139:Q170" si="59">IF(G138&lt;=$D$14,Q138-I139,0)</f>
        <v>0</v>
      </c>
      <c r="R139" s="26">
        <f t="shared" si="53"/>
        <v>0</v>
      </c>
      <c r="S139" s="16">
        <f t="shared" si="54"/>
        <v>0</v>
      </c>
      <c r="T139" s="26">
        <f t="shared" ref="T139:T189" si="60">L139</f>
        <v>0</v>
      </c>
      <c r="U139" s="26">
        <f t="shared" ref="U139:U189" si="61">M139</f>
        <v>0</v>
      </c>
      <c r="V139" s="3">
        <f t="shared" ref="V139:V189" si="62">IF($D$38="да",K139*$D$23,0)</f>
        <v>0</v>
      </c>
      <c r="W139" s="16">
        <f t="shared" ref="W139:W189" si="63">IF($D$38="да",IF(G139&lt;=$D$21,(-$R$9)/$D$21*$D$23,0),0)</f>
        <v>0</v>
      </c>
      <c r="X139" s="16">
        <f t="shared" ref="X139:X189" si="64">IF($D$38="да",IF(G139&lt;=$D$14,AA139*$D$23,0),0)</f>
        <v>0</v>
      </c>
      <c r="Y139" s="26">
        <f t="shared" ref="Y139:Y189" si="65">T139-V139-W139</f>
        <v>0</v>
      </c>
      <c r="Z139" s="26">
        <f t="shared" ref="Z139:Z189" si="66">U139-W139-X139-V139</f>
        <v>0</v>
      </c>
      <c r="AA139" s="1">
        <f t="shared" ref="AA139:AA189" si="67">IF(G139&lt;=$D$14,N138*$D$24,0)</f>
        <v>0</v>
      </c>
    </row>
    <row r="140" spans="7:27" x14ac:dyDescent="0.25">
      <c r="G140">
        <v>131</v>
      </c>
      <c r="H140" s="21">
        <v>47818</v>
      </c>
      <c r="I140" s="16">
        <f t="shared" si="50"/>
        <v>0</v>
      </c>
      <c r="J140" s="16">
        <f t="shared" si="55"/>
        <v>0</v>
      </c>
      <c r="K140" s="16">
        <f t="shared" si="51"/>
        <v>0</v>
      </c>
      <c r="L140" s="26">
        <f t="shared" si="56"/>
        <v>0</v>
      </c>
      <c r="M140" s="26">
        <f t="shared" si="57"/>
        <v>0</v>
      </c>
      <c r="N140" s="16">
        <f t="shared" si="52"/>
        <v>0</v>
      </c>
      <c r="O140" s="16"/>
      <c r="P140" s="16">
        <f t="shared" si="58"/>
        <v>0</v>
      </c>
      <c r="Q140" s="16">
        <f t="shared" si="59"/>
        <v>0</v>
      </c>
      <c r="R140" s="26">
        <f t="shared" si="53"/>
        <v>0</v>
      </c>
      <c r="S140" s="16">
        <f t="shared" si="54"/>
        <v>0</v>
      </c>
      <c r="T140" s="26">
        <f t="shared" si="60"/>
        <v>0</v>
      </c>
      <c r="U140" s="26">
        <f t="shared" si="61"/>
        <v>0</v>
      </c>
      <c r="V140" s="3">
        <f t="shared" si="62"/>
        <v>0</v>
      </c>
      <c r="W140" s="16">
        <f t="shared" si="63"/>
        <v>0</v>
      </c>
      <c r="X140" s="16">
        <f t="shared" si="64"/>
        <v>0</v>
      </c>
      <c r="Y140" s="26">
        <f t="shared" si="65"/>
        <v>0</v>
      </c>
      <c r="Z140" s="26">
        <f t="shared" si="66"/>
        <v>0</v>
      </c>
      <c r="AA140" s="1">
        <f t="shared" si="67"/>
        <v>0</v>
      </c>
    </row>
    <row r="141" spans="7:27" x14ac:dyDescent="0.25">
      <c r="G141">
        <v>132</v>
      </c>
      <c r="H141" s="21">
        <v>47849</v>
      </c>
      <c r="I141" s="16">
        <f t="shared" si="50"/>
        <v>0</v>
      </c>
      <c r="J141" s="16">
        <f t="shared" si="55"/>
        <v>0</v>
      </c>
      <c r="K141" s="16">
        <f t="shared" si="51"/>
        <v>0</v>
      </c>
      <c r="L141" s="26">
        <f t="shared" si="56"/>
        <v>0</v>
      </c>
      <c r="M141" s="26">
        <f t="shared" si="57"/>
        <v>0</v>
      </c>
      <c r="N141" s="16">
        <f t="shared" si="52"/>
        <v>0</v>
      </c>
      <c r="O141" s="16"/>
      <c r="P141" s="16">
        <f t="shared" si="58"/>
        <v>0</v>
      </c>
      <c r="Q141" s="16">
        <f t="shared" si="59"/>
        <v>0</v>
      </c>
      <c r="R141" s="26">
        <f t="shared" si="53"/>
        <v>0</v>
      </c>
      <c r="S141" s="16">
        <f t="shared" si="54"/>
        <v>0</v>
      </c>
      <c r="T141" s="26">
        <f t="shared" si="60"/>
        <v>0</v>
      </c>
      <c r="U141" s="26">
        <f t="shared" si="61"/>
        <v>0</v>
      </c>
      <c r="V141" s="3">
        <f t="shared" si="62"/>
        <v>0</v>
      </c>
      <c r="W141" s="16">
        <f t="shared" si="63"/>
        <v>0</v>
      </c>
      <c r="X141" s="16">
        <f t="shared" si="64"/>
        <v>0</v>
      </c>
      <c r="Y141" s="26">
        <f t="shared" si="65"/>
        <v>0</v>
      </c>
      <c r="Z141" s="26">
        <f t="shared" si="66"/>
        <v>0</v>
      </c>
      <c r="AA141" s="1">
        <f t="shared" si="67"/>
        <v>0</v>
      </c>
    </row>
    <row r="142" spans="7:27" x14ac:dyDescent="0.25">
      <c r="G142">
        <v>133</v>
      </c>
      <c r="H142" s="21">
        <v>47880</v>
      </c>
      <c r="I142" s="16">
        <f t="shared" si="50"/>
        <v>0</v>
      </c>
      <c r="J142" s="16">
        <f t="shared" si="55"/>
        <v>0</v>
      </c>
      <c r="K142" s="16">
        <f t="shared" si="51"/>
        <v>0</v>
      </c>
      <c r="L142" s="26">
        <f t="shared" si="56"/>
        <v>0</v>
      </c>
      <c r="M142" s="26">
        <f t="shared" si="57"/>
        <v>0</v>
      </c>
      <c r="N142" s="16">
        <f t="shared" si="52"/>
        <v>0</v>
      </c>
      <c r="O142" s="16"/>
      <c r="P142" s="16">
        <f t="shared" si="58"/>
        <v>0</v>
      </c>
      <c r="Q142" s="16">
        <f t="shared" si="59"/>
        <v>0</v>
      </c>
      <c r="R142" s="26">
        <f t="shared" si="53"/>
        <v>0</v>
      </c>
      <c r="S142" s="16">
        <f t="shared" si="54"/>
        <v>0</v>
      </c>
      <c r="T142" s="26">
        <f t="shared" si="60"/>
        <v>0</v>
      </c>
      <c r="U142" s="26">
        <f t="shared" si="61"/>
        <v>0</v>
      </c>
      <c r="V142" s="3">
        <f t="shared" si="62"/>
        <v>0</v>
      </c>
      <c r="W142" s="16">
        <f t="shared" si="63"/>
        <v>0</v>
      </c>
      <c r="X142" s="16">
        <f t="shared" si="64"/>
        <v>0</v>
      </c>
      <c r="Y142" s="26">
        <f t="shared" si="65"/>
        <v>0</v>
      </c>
      <c r="Z142" s="26">
        <f t="shared" si="66"/>
        <v>0</v>
      </c>
      <c r="AA142" s="1">
        <f t="shared" si="67"/>
        <v>0</v>
      </c>
    </row>
    <row r="143" spans="7:27" x14ac:dyDescent="0.25">
      <c r="G143">
        <v>134</v>
      </c>
      <c r="H143" s="21">
        <v>47908</v>
      </c>
      <c r="I143" s="16">
        <f t="shared" si="50"/>
        <v>0</v>
      </c>
      <c r="J143" s="16">
        <f t="shared" si="55"/>
        <v>0</v>
      </c>
      <c r="K143" s="16">
        <f t="shared" si="51"/>
        <v>0</v>
      </c>
      <c r="L143" s="26">
        <f t="shared" si="56"/>
        <v>0</v>
      </c>
      <c r="M143" s="26">
        <f t="shared" si="57"/>
        <v>0</v>
      </c>
      <c r="N143" s="16">
        <f t="shared" si="52"/>
        <v>0</v>
      </c>
      <c r="O143" s="16"/>
      <c r="P143" s="16">
        <f t="shared" si="58"/>
        <v>0</v>
      </c>
      <c r="Q143" s="16">
        <f t="shared" si="59"/>
        <v>0</v>
      </c>
      <c r="R143" s="26">
        <f t="shared" si="53"/>
        <v>0</v>
      </c>
      <c r="S143" s="16">
        <f t="shared" si="54"/>
        <v>0</v>
      </c>
      <c r="T143" s="26">
        <f t="shared" si="60"/>
        <v>0</v>
      </c>
      <c r="U143" s="26">
        <f t="shared" si="61"/>
        <v>0</v>
      </c>
      <c r="V143" s="3">
        <f t="shared" si="62"/>
        <v>0</v>
      </c>
      <c r="W143" s="16">
        <f t="shared" si="63"/>
        <v>0</v>
      </c>
      <c r="X143" s="16">
        <f t="shared" si="64"/>
        <v>0</v>
      </c>
      <c r="Y143" s="26">
        <f t="shared" si="65"/>
        <v>0</v>
      </c>
      <c r="Z143" s="26">
        <f t="shared" si="66"/>
        <v>0</v>
      </c>
      <c r="AA143" s="1">
        <f t="shared" si="67"/>
        <v>0</v>
      </c>
    </row>
    <row r="144" spans="7:27" x14ac:dyDescent="0.25">
      <c r="G144">
        <v>135</v>
      </c>
      <c r="H144" s="21">
        <v>47939</v>
      </c>
      <c r="I144" s="16">
        <f t="shared" si="50"/>
        <v>0</v>
      </c>
      <c r="J144" s="16">
        <f t="shared" si="55"/>
        <v>0</v>
      </c>
      <c r="K144" s="16">
        <f t="shared" si="51"/>
        <v>0</v>
      </c>
      <c r="L144" s="26">
        <f t="shared" si="56"/>
        <v>0</v>
      </c>
      <c r="M144" s="26">
        <f t="shared" si="57"/>
        <v>0</v>
      </c>
      <c r="N144" s="16">
        <f t="shared" si="52"/>
        <v>0</v>
      </c>
      <c r="O144" s="16"/>
      <c r="P144" s="16">
        <f t="shared" si="58"/>
        <v>0</v>
      </c>
      <c r="Q144" s="16">
        <f t="shared" si="59"/>
        <v>0</v>
      </c>
      <c r="R144" s="26">
        <f t="shared" si="53"/>
        <v>0</v>
      </c>
      <c r="S144" s="16">
        <f t="shared" si="54"/>
        <v>0</v>
      </c>
      <c r="T144" s="26">
        <f t="shared" si="60"/>
        <v>0</v>
      </c>
      <c r="U144" s="26">
        <f t="shared" si="61"/>
        <v>0</v>
      </c>
      <c r="V144" s="3">
        <f t="shared" si="62"/>
        <v>0</v>
      </c>
      <c r="W144" s="16">
        <f t="shared" si="63"/>
        <v>0</v>
      </c>
      <c r="X144" s="16">
        <f t="shared" si="64"/>
        <v>0</v>
      </c>
      <c r="Y144" s="26">
        <f t="shared" si="65"/>
        <v>0</v>
      </c>
      <c r="Z144" s="26">
        <f t="shared" si="66"/>
        <v>0</v>
      </c>
      <c r="AA144" s="1">
        <f t="shared" si="67"/>
        <v>0</v>
      </c>
    </row>
    <row r="145" spans="7:27" x14ac:dyDescent="0.25">
      <c r="G145">
        <v>136</v>
      </c>
      <c r="H145" s="21">
        <v>47969</v>
      </c>
      <c r="I145" s="16">
        <f t="shared" si="50"/>
        <v>0</v>
      </c>
      <c r="J145" s="16">
        <f t="shared" si="55"/>
        <v>0</v>
      </c>
      <c r="K145" s="16">
        <f t="shared" si="51"/>
        <v>0</v>
      </c>
      <c r="L145" s="26">
        <f t="shared" si="56"/>
        <v>0</v>
      </c>
      <c r="M145" s="26">
        <f t="shared" si="57"/>
        <v>0</v>
      </c>
      <c r="N145" s="16">
        <f t="shared" si="52"/>
        <v>0</v>
      </c>
      <c r="O145" s="16"/>
      <c r="P145" s="16">
        <f t="shared" si="58"/>
        <v>0</v>
      </c>
      <c r="Q145" s="16">
        <f t="shared" si="59"/>
        <v>0</v>
      </c>
      <c r="R145" s="26">
        <f t="shared" si="53"/>
        <v>0</v>
      </c>
      <c r="S145" s="16">
        <f t="shared" si="54"/>
        <v>0</v>
      </c>
      <c r="T145" s="26">
        <f t="shared" si="60"/>
        <v>0</v>
      </c>
      <c r="U145" s="26">
        <f t="shared" si="61"/>
        <v>0</v>
      </c>
      <c r="V145" s="3">
        <f t="shared" si="62"/>
        <v>0</v>
      </c>
      <c r="W145" s="16">
        <f t="shared" si="63"/>
        <v>0</v>
      </c>
      <c r="X145" s="16">
        <f t="shared" si="64"/>
        <v>0</v>
      </c>
      <c r="Y145" s="26">
        <f t="shared" si="65"/>
        <v>0</v>
      </c>
      <c r="Z145" s="26">
        <f t="shared" si="66"/>
        <v>0</v>
      </c>
      <c r="AA145" s="1">
        <f t="shared" si="67"/>
        <v>0</v>
      </c>
    </row>
    <row r="146" spans="7:27" x14ac:dyDescent="0.25">
      <c r="G146">
        <v>137</v>
      </c>
      <c r="H146" s="21">
        <v>48000</v>
      </c>
      <c r="I146" s="16">
        <f t="shared" si="50"/>
        <v>0</v>
      </c>
      <c r="J146" s="16">
        <f t="shared" si="55"/>
        <v>0</v>
      </c>
      <c r="K146" s="16">
        <f t="shared" si="51"/>
        <v>0</v>
      </c>
      <c r="L146" s="26">
        <f t="shared" si="56"/>
        <v>0</v>
      </c>
      <c r="M146" s="26">
        <f t="shared" si="57"/>
        <v>0</v>
      </c>
      <c r="N146" s="16">
        <f t="shared" si="52"/>
        <v>0</v>
      </c>
      <c r="O146" s="16"/>
      <c r="P146" s="16">
        <f t="shared" si="58"/>
        <v>0</v>
      </c>
      <c r="Q146" s="16">
        <f t="shared" si="59"/>
        <v>0</v>
      </c>
      <c r="R146" s="26">
        <f t="shared" si="53"/>
        <v>0</v>
      </c>
      <c r="S146" s="16">
        <f t="shared" si="54"/>
        <v>0</v>
      </c>
      <c r="T146" s="26">
        <f t="shared" si="60"/>
        <v>0</v>
      </c>
      <c r="U146" s="26">
        <f t="shared" si="61"/>
        <v>0</v>
      </c>
      <c r="V146" s="3">
        <f t="shared" si="62"/>
        <v>0</v>
      </c>
      <c r="W146" s="16">
        <f t="shared" si="63"/>
        <v>0</v>
      </c>
      <c r="X146" s="16">
        <f t="shared" si="64"/>
        <v>0</v>
      </c>
      <c r="Y146" s="26">
        <f t="shared" si="65"/>
        <v>0</v>
      </c>
      <c r="Z146" s="26">
        <f t="shared" si="66"/>
        <v>0</v>
      </c>
      <c r="AA146" s="1">
        <f t="shared" si="67"/>
        <v>0</v>
      </c>
    </row>
    <row r="147" spans="7:27" x14ac:dyDescent="0.25">
      <c r="G147">
        <v>138</v>
      </c>
      <c r="H147" s="21">
        <v>48030</v>
      </c>
      <c r="I147" s="16">
        <f t="shared" si="50"/>
        <v>0</v>
      </c>
      <c r="J147" s="16">
        <f t="shared" si="55"/>
        <v>0</v>
      </c>
      <c r="K147" s="16">
        <f t="shared" si="51"/>
        <v>0</v>
      </c>
      <c r="L147" s="26">
        <f t="shared" si="56"/>
        <v>0</v>
      </c>
      <c r="M147" s="26">
        <f t="shared" si="57"/>
        <v>0</v>
      </c>
      <c r="N147" s="16">
        <f t="shared" si="52"/>
        <v>0</v>
      </c>
      <c r="O147" s="16"/>
      <c r="P147" s="16">
        <f t="shared" si="58"/>
        <v>0</v>
      </c>
      <c r="Q147" s="16">
        <f t="shared" si="59"/>
        <v>0</v>
      </c>
      <c r="R147" s="26">
        <f t="shared" si="53"/>
        <v>0</v>
      </c>
      <c r="S147" s="16">
        <f t="shared" si="54"/>
        <v>0</v>
      </c>
      <c r="T147" s="26">
        <f t="shared" si="60"/>
        <v>0</v>
      </c>
      <c r="U147" s="26">
        <f t="shared" si="61"/>
        <v>0</v>
      </c>
      <c r="V147" s="3">
        <f t="shared" si="62"/>
        <v>0</v>
      </c>
      <c r="W147" s="16">
        <f t="shared" si="63"/>
        <v>0</v>
      </c>
      <c r="X147" s="16">
        <f t="shared" si="64"/>
        <v>0</v>
      </c>
      <c r="Y147" s="26">
        <f t="shared" si="65"/>
        <v>0</v>
      </c>
      <c r="Z147" s="26">
        <f t="shared" si="66"/>
        <v>0</v>
      </c>
      <c r="AA147" s="1">
        <f t="shared" si="67"/>
        <v>0</v>
      </c>
    </row>
    <row r="148" spans="7:27" x14ac:dyDescent="0.25">
      <c r="G148">
        <v>139</v>
      </c>
      <c r="H148" s="21">
        <v>48061</v>
      </c>
      <c r="I148" s="16">
        <f t="shared" si="50"/>
        <v>0</v>
      </c>
      <c r="J148" s="16">
        <f t="shared" si="55"/>
        <v>0</v>
      </c>
      <c r="K148" s="16">
        <f t="shared" si="51"/>
        <v>0</v>
      </c>
      <c r="L148" s="26">
        <f t="shared" si="56"/>
        <v>0</v>
      </c>
      <c r="M148" s="26">
        <f t="shared" si="57"/>
        <v>0</v>
      </c>
      <c r="N148" s="16">
        <f t="shared" si="52"/>
        <v>0</v>
      </c>
      <c r="O148" s="16"/>
      <c r="P148" s="16">
        <f t="shared" si="58"/>
        <v>0</v>
      </c>
      <c r="Q148" s="16">
        <f t="shared" si="59"/>
        <v>0</v>
      </c>
      <c r="R148" s="26">
        <f t="shared" si="53"/>
        <v>0</v>
      </c>
      <c r="S148" s="16">
        <f t="shared" si="54"/>
        <v>0</v>
      </c>
      <c r="T148" s="26">
        <f t="shared" si="60"/>
        <v>0</v>
      </c>
      <c r="U148" s="26">
        <f t="shared" si="61"/>
        <v>0</v>
      </c>
      <c r="V148" s="3">
        <f t="shared" si="62"/>
        <v>0</v>
      </c>
      <c r="W148" s="16">
        <f t="shared" si="63"/>
        <v>0</v>
      </c>
      <c r="X148" s="16">
        <f t="shared" si="64"/>
        <v>0</v>
      </c>
      <c r="Y148" s="26">
        <f t="shared" si="65"/>
        <v>0</v>
      </c>
      <c r="Z148" s="26">
        <f t="shared" si="66"/>
        <v>0</v>
      </c>
      <c r="AA148" s="1">
        <f t="shared" si="67"/>
        <v>0</v>
      </c>
    </row>
    <row r="149" spans="7:27" x14ac:dyDescent="0.25">
      <c r="G149">
        <v>140</v>
      </c>
      <c r="H149" s="21">
        <v>48092</v>
      </c>
      <c r="I149" s="16">
        <f t="shared" si="50"/>
        <v>0</v>
      </c>
      <c r="J149" s="16">
        <f t="shared" si="55"/>
        <v>0</v>
      </c>
      <c r="K149" s="16">
        <f t="shared" si="51"/>
        <v>0</v>
      </c>
      <c r="L149" s="26">
        <f t="shared" si="56"/>
        <v>0</v>
      </c>
      <c r="M149" s="26">
        <f t="shared" si="57"/>
        <v>0</v>
      </c>
      <c r="N149" s="16">
        <f t="shared" si="52"/>
        <v>0</v>
      </c>
      <c r="O149" s="16"/>
      <c r="P149" s="16">
        <f t="shared" si="58"/>
        <v>0</v>
      </c>
      <c r="Q149" s="16">
        <f t="shared" si="59"/>
        <v>0</v>
      </c>
      <c r="R149" s="26">
        <f t="shared" si="53"/>
        <v>0</v>
      </c>
      <c r="S149" s="16">
        <f t="shared" si="54"/>
        <v>0</v>
      </c>
      <c r="T149" s="26">
        <f t="shared" si="60"/>
        <v>0</v>
      </c>
      <c r="U149" s="26">
        <f t="shared" si="61"/>
        <v>0</v>
      </c>
      <c r="V149" s="3">
        <f t="shared" si="62"/>
        <v>0</v>
      </c>
      <c r="W149" s="16">
        <f t="shared" si="63"/>
        <v>0</v>
      </c>
      <c r="X149" s="16">
        <f t="shared" si="64"/>
        <v>0</v>
      </c>
      <c r="Y149" s="26">
        <f t="shared" si="65"/>
        <v>0</v>
      </c>
      <c r="Z149" s="26">
        <f t="shared" si="66"/>
        <v>0</v>
      </c>
      <c r="AA149" s="1">
        <f t="shared" si="67"/>
        <v>0</v>
      </c>
    </row>
    <row r="150" spans="7:27" x14ac:dyDescent="0.25">
      <c r="G150">
        <v>141</v>
      </c>
      <c r="H150" s="21">
        <v>48122</v>
      </c>
      <c r="I150" s="16">
        <f t="shared" si="50"/>
        <v>0</v>
      </c>
      <c r="J150" s="16">
        <f t="shared" si="55"/>
        <v>0</v>
      </c>
      <c r="K150" s="16">
        <f t="shared" si="51"/>
        <v>0</v>
      </c>
      <c r="L150" s="26">
        <f t="shared" si="56"/>
        <v>0</v>
      </c>
      <c r="M150" s="26">
        <f t="shared" si="57"/>
        <v>0</v>
      </c>
      <c r="N150" s="16">
        <f t="shared" si="52"/>
        <v>0</v>
      </c>
      <c r="O150" s="16"/>
      <c r="P150" s="16">
        <f t="shared" si="58"/>
        <v>0</v>
      </c>
      <c r="Q150" s="16">
        <f t="shared" si="59"/>
        <v>0</v>
      </c>
      <c r="R150" s="26">
        <f t="shared" si="53"/>
        <v>0</v>
      </c>
      <c r="S150" s="16">
        <f t="shared" si="54"/>
        <v>0</v>
      </c>
      <c r="T150" s="26">
        <f t="shared" si="60"/>
        <v>0</v>
      </c>
      <c r="U150" s="26">
        <f t="shared" si="61"/>
        <v>0</v>
      </c>
      <c r="V150" s="3">
        <f t="shared" si="62"/>
        <v>0</v>
      </c>
      <c r="W150" s="16">
        <f t="shared" si="63"/>
        <v>0</v>
      </c>
      <c r="X150" s="16">
        <f t="shared" si="64"/>
        <v>0</v>
      </c>
      <c r="Y150" s="26">
        <f t="shared" si="65"/>
        <v>0</v>
      </c>
      <c r="Z150" s="26">
        <f t="shared" si="66"/>
        <v>0</v>
      </c>
      <c r="AA150" s="1">
        <f t="shared" si="67"/>
        <v>0</v>
      </c>
    </row>
    <row r="151" spans="7:27" x14ac:dyDescent="0.25">
      <c r="G151">
        <v>142</v>
      </c>
      <c r="H151" s="21">
        <v>48153</v>
      </c>
      <c r="I151" s="16">
        <f t="shared" si="50"/>
        <v>0</v>
      </c>
      <c r="J151" s="16">
        <f t="shared" si="55"/>
        <v>0</v>
      </c>
      <c r="K151" s="16">
        <f t="shared" si="51"/>
        <v>0</v>
      </c>
      <c r="L151" s="26">
        <f t="shared" si="56"/>
        <v>0</v>
      </c>
      <c r="M151" s="26">
        <f t="shared" si="57"/>
        <v>0</v>
      </c>
      <c r="N151" s="16">
        <f t="shared" si="52"/>
        <v>0</v>
      </c>
      <c r="O151" s="16"/>
      <c r="P151" s="16">
        <f t="shared" si="58"/>
        <v>0</v>
      </c>
      <c r="Q151" s="16">
        <f t="shared" si="59"/>
        <v>0</v>
      </c>
      <c r="R151" s="26">
        <f t="shared" si="53"/>
        <v>0</v>
      </c>
      <c r="S151" s="16">
        <f t="shared" si="54"/>
        <v>0</v>
      </c>
      <c r="T151" s="26">
        <f t="shared" si="60"/>
        <v>0</v>
      </c>
      <c r="U151" s="26">
        <f t="shared" si="61"/>
        <v>0</v>
      </c>
      <c r="V151" s="3">
        <f t="shared" si="62"/>
        <v>0</v>
      </c>
      <c r="W151" s="16">
        <f t="shared" si="63"/>
        <v>0</v>
      </c>
      <c r="X151" s="16">
        <f t="shared" si="64"/>
        <v>0</v>
      </c>
      <c r="Y151" s="26">
        <f t="shared" si="65"/>
        <v>0</v>
      </c>
      <c r="Z151" s="26">
        <f t="shared" si="66"/>
        <v>0</v>
      </c>
      <c r="AA151" s="1">
        <f t="shared" si="67"/>
        <v>0</v>
      </c>
    </row>
    <row r="152" spans="7:27" x14ac:dyDescent="0.25">
      <c r="G152">
        <v>143</v>
      </c>
      <c r="H152" s="21">
        <v>48183</v>
      </c>
      <c r="I152" s="16">
        <f t="shared" si="50"/>
        <v>0</v>
      </c>
      <c r="J152" s="16">
        <f t="shared" si="55"/>
        <v>0</v>
      </c>
      <c r="K152" s="16">
        <f t="shared" si="51"/>
        <v>0</v>
      </c>
      <c r="L152" s="26">
        <f t="shared" si="56"/>
        <v>0</v>
      </c>
      <c r="M152" s="26">
        <f t="shared" si="57"/>
        <v>0</v>
      </c>
      <c r="N152" s="16">
        <f t="shared" si="52"/>
        <v>0</v>
      </c>
      <c r="O152" s="16"/>
      <c r="P152" s="16">
        <f t="shared" si="58"/>
        <v>0</v>
      </c>
      <c r="Q152" s="16">
        <f t="shared" si="59"/>
        <v>0</v>
      </c>
      <c r="R152" s="26">
        <f t="shared" si="53"/>
        <v>0</v>
      </c>
      <c r="S152" s="16">
        <f t="shared" si="54"/>
        <v>0</v>
      </c>
      <c r="T152" s="26">
        <f t="shared" si="60"/>
        <v>0</v>
      </c>
      <c r="U152" s="26">
        <f t="shared" si="61"/>
        <v>0</v>
      </c>
      <c r="V152" s="3">
        <f t="shared" si="62"/>
        <v>0</v>
      </c>
      <c r="W152" s="16">
        <f t="shared" si="63"/>
        <v>0</v>
      </c>
      <c r="X152" s="16">
        <f t="shared" si="64"/>
        <v>0</v>
      </c>
      <c r="Y152" s="26">
        <f t="shared" si="65"/>
        <v>0</v>
      </c>
      <c r="Z152" s="26">
        <f t="shared" si="66"/>
        <v>0</v>
      </c>
      <c r="AA152" s="1">
        <f t="shared" si="67"/>
        <v>0</v>
      </c>
    </row>
    <row r="153" spans="7:27" x14ac:dyDescent="0.25">
      <c r="G153">
        <v>144</v>
      </c>
      <c r="H153" s="21">
        <v>48214</v>
      </c>
      <c r="I153" s="16">
        <f t="shared" si="50"/>
        <v>0</v>
      </c>
      <c r="J153" s="16">
        <f t="shared" si="55"/>
        <v>0</v>
      </c>
      <c r="K153" s="16">
        <f t="shared" si="51"/>
        <v>0</v>
      </c>
      <c r="L153" s="26">
        <f t="shared" si="56"/>
        <v>0</v>
      </c>
      <c r="M153" s="26">
        <f t="shared" si="57"/>
        <v>0</v>
      </c>
      <c r="N153" s="16">
        <f t="shared" si="52"/>
        <v>0</v>
      </c>
      <c r="O153" s="16"/>
      <c r="P153" s="16">
        <f t="shared" si="58"/>
        <v>0</v>
      </c>
      <c r="Q153" s="16">
        <f t="shared" si="59"/>
        <v>0</v>
      </c>
      <c r="R153" s="26">
        <f t="shared" si="53"/>
        <v>0</v>
      </c>
      <c r="S153" s="16">
        <f t="shared" si="54"/>
        <v>0</v>
      </c>
      <c r="T153" s="26">
        <f t="shared" si="60"/>
        <v>0</v>
      </c>
      <c r="U153" s="26">
        <f t="shared" si="61"/>
        <v>0</v>
      </c>
      <c r="V153" s="3">
        <f t="shared" si="62"/>
        <v>0</v>
      </c>
      <c r="W153" s="16">
        <f t="shared" si="63"/>
        <v>0</v>
      </c>
      <c r="X153" s="16">
        <f t="shared" si="64"/>
        <v>0</v>
      </c>
      <c r="Y153" s="26">
        <f t="shared" si="65"/>
        <v>0</v>
      </c>
      <c r="Z153" s="26">
        <f t="shared" si="66"/>
        <v>0</v>
      </c>
      <c r="AA153" s="1">
        <f t="shared" si="67"/>
        <v>0</v>
      </c>
    </row>
    <row r="154" spans="7:27" x14ac:dyDescent="0.25">
      <c r="G154">
        <v>145</v>
      </c>
      <c r="H154" s="21">
        <v>48245</v>
      </c>
      <c r="I154" s="16">
        <f t="shared" si="50"/>
        <v>0</v>
      </c>
      <c r="J154" s="16">
        <f t="shared" si="55"/>
        <v>0</v>
      </c>
      <c r="K154" s="16">
        <f t="shared" si="51"/>
        <v>0</v>
      </c>
      <c r="L154" s="26">
        <f t="shared" si="56"/>
        <v>0</v>
      </c>
      <c r="M154" s="26">
        <f t="shared" si="57"/>
        <v>0</v>
      </c>
      <c r="N154" s="16">
        <f t="shared" si="52"/>
        <v>0</v>
      </c>
      <c r="O154" s="16"/>
      <c r="P154" s="16">
        <f t="shared" si="58"/>
        <v>0</v>
      </c>
      <c r="Q154" s="16">
        <f t="shared" si="59"/>
        <v>0</v>
      </c>
      <c r="R154" s="26">
        <f t="shared" si="53"/>
        <v>0</v>
      </c>
      <c r="S154" s="16">
        <f t="shared" si="54"/>
        <v>0</v>
      </c>
      <c r="T154" s="26">
        <f t="shared" si="60"/>
        <v>0</v>
      </c>
      <c r="U154" s="26">
        <f t="shared" si="61"/>
        <v>0</v>
      </c>
      <c r="V154" s="3">
        <f t="shared" si="62"/>
        <v>0</v>
      </c>
      <c r="W154" s="16">
        <f t="shared" si="63"/>
        <v>0</v>
      </c>
      <c r="X154" s="16">
        <f t="shared" si="64"/>
        <v>0</v>
      </c>
      <c r="Y154" s="26">
        <f t="shared" si="65"/>
        <v>0</v>
      </c>
      <c r="Z154" s="26">
        <f t="shared" si="66"/>
        <v>0</v>
      </c>
      <c r="AA154" s="1">
        <f t="shared" si="67"/>
        <v>0</v>
      </c>
    </row>
    <row r="155" spans="7:27" x14ac:dyDescent="0.25">
      <c r="G155">
        <v>146</v>
      </c>
      <c r="H155" s="21">
        <v>48274</v>
      </c>
      <c r="I155" s="16">
        <f t="shared" si="50"/>
        <v>0</v>
      </c>
      <c r="J155" s="16">
        <f t="shared" si="55"/>
        <v>0</v>
      </c>
      <c r="K155" s="16">
        <f t="shared" si="51"/>
        <v>0</v>
      </c>
      <c r="L155" s="26">
        <f t="shared" si="56"/>
        <v>0</v>
      </c>
      <c r="M155" s="26">
        <f t="shared" si="57"/>
        <v>0</v>
      </c>
      <c r="N155" s="16">
        <f t="shared" si="52"/>
        <v>0</v>
      </c>
      <c r="O155" s="16"/>
      <c r="P155" s="16">
        <f t="shared" si="58"/>
        <v>0</v>
      </c>
      <c r="Q155" s="16">
        <f t="shared" si="59"/>
        <v>0</v>
      </c>
      <c r="R155" s="26">
        <f t="shared" si="53"/>
        <v>0</v>
      </c>
      <c r="S155" s="16">
        <f t="shared" si="54"/>
        <v>0</v>
      </c>
      <c r="T155" s="26">
        <f t="shared" si="60"/>
        <v>0</v>
      </c>
      <c r="U155" s="26">
        <f t="shared" si="61"/>
        <v>0</v>
      </c>
      <c r="V155" s="3">
        <f t="shared" si="62"/>
        <v>0</v>
      </c>
      <c r="W155" s="16">
        <f t="shared" si="63"/>
        <v>0</v>
      </c>
      <c r="X155" s="16">
        <f t="shared" si="64"/>
        <v>0</v>
      </c>
      <c r="Y155" s="26">
        <f t="shared" si="65"/>
        <v>0</v>
      </c>
      <c r="Z155" s="26">
        <f t="shared" si="66"/>
        <v>0</v>
      </c>
      <c r="AA155" s="1">
        <f t="shared" si="67"/>
        <v>0</v>
      </c>
    </row>
    <row r="156" spans="7:27" x14ac:dyDescent="0.25">
      <c r="G156">
        <v>147</v>
      </c>
      <c r="H156" s="21">
        <v>48305</v>
      </c>
      <c r="I156" s="16">
        <f t="shared" si="50"/>
        <v>0</v>
      </c>
      <c r="J156" s="16">
        <f t="shared" si="55"/>
        <v>0</v>
      </c>
      <c r="K156" s="16">
        <f t="shared" si="51"/>
        <v>0</v>
      </c>
      <c r="L156" s="26">
        <f t="shared" si="56"/>
        <v>0</v>
      </c>
      <c r="M156" s="26">
        <f t="shared" si="57"/>
        <v>0</v>
      </c>
      <c r="N156" s="16">
        <f t="shared" si="52"/>
        <v>0</v>
      </c>
      <c r="O156" s="16"/>
      <c r="P156" s="16">
        <f t="shared" si="58"/>
        <v>0</v>
      </c>
      <c r="Q156" s="16">
        <f t="shared" si="59"/>
        <v>0</v>
      </c>
      <c r="R156" s="26">
        <f t="shared" si="53"/>
        <v>0</v>
      </c>
      <c r="S156" s="16">
        <f t="shared" si="54"/>
        <v>0</v>
      </c>
      <c r="T156" s="26">
        <f t="shared" si="60"/>
        <v>0</v>
      </c>
      <c r="U156" s="26">
        <f t="shared" si="61"/>
        <v>0</v>
      </c>
      <c r="V156" s="3">
        <f t="shared" si="62"/>
        <v>0</v>
      </c>
      <c r="W156" s="16">
        <f t="shared" si="63"/>
        <v>0</v>
      </c>
      <c r="X156" s="16">
        <f t="shared" si="64"/>
        <v>0</v>
      </c>
      <c r="Y156" s="26">
        <f t="shared" si="65"/>
        <v>0</v>
      </c>
      <c r="Z156" s="26">
        <f t="shared" si="66"/>
        <v>0</v>
      </c>
      <c r="AA156" s="1">
        <f t="shared" si="67"/>
        <v>0</v>
      </c>
    </row>
    <row r="157" spans="7:27" x14ac:dyDescent="0.25">
      <c r="G157">
        <v>148</v>
      </c>
      <c r="H157" s="21">
        <v>48335</v>
      </c>
      <c r="I157" s="16">
        <f t="shared" si="50"/>
        <v>0</v>
      </c>
      <c r="J157" s="16">
        <f t="shared" si="55"/>
        <v>0</v>
      </c>
      <c r="K157" s="16">
        <f t="shared" si="51"/>
        <v>0</v>
      </c>
      <c r="L157" s="26">
        <f t="shared" si="56"/>
        <v>0</v>
      </c>
      <c r="M157" s="26">
        <f t="shared" si="57"/>
        <v>0</v>
      </c>
      <c r="N157" s="16">
        <f t="shared" si="52"/>
        <v>0</v>
      </c>
      <c r="O157" s="16"/>
      <c r="P157" s="16">
        <f t="shared" si="58"/>
        <v>0</v>
      </c>
      <c r="Q157" s="16">
        <f t="shared" si="59"/>
        <v>0</v>
      </c>
      <c r="R157" s="26">
        <f t="shared" si="53"/>
        <v>0</v>
      </c>
      <c r="S157" s="16">
        <f t="shared" si="54"/>
        <v>0</v>
      </c>
      <c r="T157" s="26">
        <f t="shared" si="60"/>
        <v>0</v>
      </c>
      <c r="U157" s="26">
        <f t="shared" si="61"/>
        <v>0</v>
      </c>
      <c r="V157" s="3">
        <f t="shared" si="62"/>
        <v>0</v>
      </c>
      <c r="W157" s="16">
        <f t="shared" si="63"/>
        <v>0</v>
      </c>
      <c r="X157" s="16">
        <f t="shared" si="64"/>
        <v>0</v>
      </c>
      <c r="Y157" s="26">
        <f t="shared" si="65"/>
        <v>0</v>
      </c>
      <c r="Z157" s="26">
        <f t="shared" si="66"/>
        <v>0</v>
      </c>
      <c r="AA157" s="1">
        <f t="shared" si="67"/>
        <v>0</v>
      </c>
    </row>
    <row r="158" spans="7:27" x14ac:dyDescent="0.25">
      <c r="G158">
        <v>149</v>
      </c>
      <c r="H158" s="21">
        <v>48366</v>
      </c>
      <c r="I158" s="16">
        <f t="shared" si="50"/>
        <v>0</v>
      </c>
      <c r="J158" s="16">
        <f t="shared" si="55"/>
        <v>0</v>
      </c>
      <c r="K158" s="16">
        <f t="shared" si="51"/>
        <v>0</v>
      </c>
      <c r="L158" s="26">
        <f t="shared" si="56"/>
        <v>0</v>
      </c>
      <c r="M158" s="26">
        <f t="shared" si="57"/>
        <v>0</v>
      </c>
      <c r="N158" s="16">
        <f t="shared" si="52"/>
        <v>0</v>
      </c>
      <c r="O158" s="16"/>
      <c r="P158" s="16">
        <f t="shared" si="58"/>
        <v>0</v>
      </c>
      <c r="Q158" s="16">
        <f t="shared" si="59"/>
        <v>0</v>
      </c>
      <c r="R158" s="26">
        <f t="shared" si="53"/>
        <v>0</v>
      </c>
      <c r="S158" s="16">
        <f t="shared" si="54"/>
        <v>0</v>
      </c>
      <c r="T158" s="26">
        <f t="shared" si="60"/>
        <v>0</v>
      </c>
      <c r="U158" s="26">
        <f t="shared" si="61"/>
        <v>0</v>
      </c>
      <c r="V158" s="3">
        <f t="shared" si="62"/>
        <v>0</v>
      </c>
      <c r="W158" s="16">
        <f t="shared" si="63"/>
        <v>0</v>
      </c>
      <c r="X158" s="16">
        <f t="shared" si="64"/>
        <v>0</v>
      </c>
      <c r="Y158" s="26">
        <f t="shared" si="65"/>
        <v>0</v>
      </c>
      <c r="Z158" s="26">
        <f t="shared" si="66"/>
        <v>0</v>
      </c>
      <c r="AA158" s="1">
        <f t="shared" si="67"/>
        <v>0</v>
      </c>
    </row>
    <row r="159" spans="7:27" x14ac:dyDescent="0.25">
      <c r="G159">
        <v>150</v>
      </c>
      <c r="H159" s="21">
        <v>48396</v>
      </c>
      <c r="I159" s="16">
        <f t="shared" si="50"/>
        <v>0</v>
      </c>
      <c r="J159" s="16">
        <f t="shared" si="55"/>
        <v>0</v>
      </c>
      <c r="K159" s="16">
        <f t="shared" si="51"/>
        <v>0</v>
      </c>
      <c r="L159" s="26">
        <f t="shared" si="56"/>
        <v>0</v>
      </c>
      <c r="M159" s="26">
        <f t="shared" si="57"/>
        <v>0</v>
      </c>
      <c r="N159" s="16">
        <f t="shared" si="52"/>
        <v>0</v>
      </c>
      <c r="O159" s="16"/>
      <c r="P159" s="16">
        <f t="shared" si="58"/>
        <v>0</v>
      </c>
      <c r="Q159" s="16">
        <f t="shared" si="59"/>
        <v>0</v>
      </c>
      <c r="R159" s="26">
        <f t="shared" si="53"/>
        <v>0</v>
      </c>
      <c r="S159" s="16">
        <f t="shared" si="54"/>
        <v>0</v>
      </c>
      <c r="T159" s="26">
        <f t="shared" si="60"/>
        <v>0</v>
      </c>
      <c r="U159" s="26">
        <f t="shared" si="61"/>
        <v>0</v>
      </c>
      <c r="V159" s="3">
        <f t="shared" si="62"/>
        <v>0</v>
      </c>
      <c r="W159" s="16">
        <f t="shared" si="63"/>
        <v>0</v>
      </c>
      <c r="X159" s="16">
        <f t="shared" si="64"/>
        <v>0</v>
      </c>
      <c r="Y159" s="26">
        <f t="shared" si="65"/>
        <v>0</v>
      </c>
      <c r="Z159" s="26">
        <f t="shared" si="66"/>
        <v>0</v>
      </c>
      <c r="AA159" s="1">
        <f t="shared" si="67"/>
        <v>0</v>
      </c>
    </row>
    <row r="160" spans="7:27" x14ac:dyDescent="0.25">
      <c r="G160">
        <v>151</v>
      </c>
      <c r="H160" s="21">
        <v>48427</v>
      </c>
      <c r="I160" s="16">
        <f t="shared" si="50"/>
        <v>0</v>
      </c>
      <c r="J160" s="16">
        <f t="shared" si="55"/>
        <v>0</v>
      </c>
      <c r="K160" s="16">
        <f t="shared" si="51"/>
        <v>0</v>
      </c>
      <c r="L160" s="26">
        <f t="shared" si="56"/>
        <v>0</v>
      </c>
      <c r="M160" s="26">
        <f t="shared" si="57"/>
        <v>0</v>
      </c>
      <c r="N160" s="16">
        <f t="shared" si="52"/>
        <v>0</v>
      </c>
      <c r="O160" s="16"/>
      <c r="P160" s="16">
        <f t="shared" si="58"/>
        <v>0</v>
      </c>
      <c r="Q160" s="16">
        <f t="shared" si="59"/>
        <v>0</v>
      </c>
      <c r="R160" s="26">
        <f t="shared" si="53"/>
        <v>0</v>
      </c>
      <c r="S160" s="16">
        <f t="shared" si="54"/>
        <v>0</v>
      </c>
      <c r="T160" s="26">
        <f t="shared" si="60"/>
        <v>0</v>
      </c>
      <c r="U160" s="26">
        <f t="shared" si="61"/>
        <v>0</v>
      </c>
      <c r="V160" s="3">
        <f t="shared" si="62"/>
        <v>0</v>
      </c>
      <c r="W160" s="16">
        <f t="shared" si="63"/>
        <v>0</v>
      </c>
      <c r="X160" s="16">
        <f t="shared" si="64"/>
        <v>0</v>
      </c>
      <c r="Y160" s="26">
        <f t="shared" si="65"/>
        <v>0</v>
      </c>
      <c r="Z160" s="26">
        <f t="shared" si="66"/>
        <v>0</v>
      </c>
      <c r="AA160" s="1">
        <f t="shared" si="67"/>
        <v>0</v>
      </c>
    </row>
    <row r="161" spans="7:27" x14ac:dyDescent="0.25">
      <c r="G161">
        <v>152</v>
      </c>
      <c r="H161" s="21">
        <v>48458</v>
      </c>
      <c r="I161" s="16">
        <f t="shared" si="50"/>
        <v>0</v>
      </c>
      <c r="J161" s="16">
        <f t="shared" si="55"/>
        <v>0</v>
      </c>
      <c r="K161" s="16">
        <f t="shared" si="51"/>
        <v>0</v>
      </c>
      <c r="L161" s="26">
        <f t="shared" si="56"/>
        <v>0</v>
      </c>
      <c r="M161" s="26">
        <f t="shared" si="57"/>
        <v>0</v>
      </c>
      <c r="N161" s="16">
        <f t="shared" si="52"/>
        <v>0</v>
      </c>
      <c r="O161" s="16"/>
      <c r="P161" s="16">
        <f t="shared" si="58"/>
        <v>0</v>
      </c>
      <c r="Q161" s="16">
        <f t="shared" si="59"/>
        <v>0</v>
      </c>
      <c r="R161" s="26">
        <f t="shared" si="53"/>
        <v>0</v>
      </c>
      <c r="S161" s="16">
        <f t="shared" si="54"/>
        <v>0</v>
      </c>
      <c r="T161" s="26">
        <f t="shared" si="60"/>
        <v>0</v>
      </c>
      <c r="U161" s="26">
        <f t="shared" si="61"/>
        <v>0</v>
      </c>
      <c r="V161" s="3">
        <f t="shared" si="62"/>
        <v>0</v>
      </c>
      <c r="W161" s="16">
        <f t="shared" si="63"/>
        <v>0</v>
      </c>
      <c r="X161" s="16">
        <f t="shared" si="64"/>
        <v>0</v>
      </c>
      <c r="Y161" s="26">
        <f t="shared" si="65"/>
        <v>0</v>
      </c>
      <c r="Z161" s="26">
        <f t="shared" si="66"/>
        <v>0</v>
      </c>
      <c r="AA161" s="1">
        <f t="shared" si="67"/>
        <v>0</v>
      </c>
    </row>
    <row r="162" spans="7:27" x14ac:dyDescent="0.25">
      <c r="G162">
        <v>153</v>
      </c>
      <c r="H162" s="21">
        <v>48488</v>
      </c>
      <c r="I162" s="16">
        <f t="shared" si="50"/>
        <v>0</v>
      </c>
      <c r="J162" s="16">
        <f t="shared" si="55"/>
        <v>0</v>
      </c>
      <c r="K162" s="16">
        <f t="shared" si="51"/>
        <v>0</v>
      </c>
      <c r="L162" s="26">
        <f t="shared" si="56"/>
        <v>0</v>
      </c>
      <c r="M162" s="26">
        <f t="shared" si="57"/>
        <v>0</v>
      </c>
      <c r="N162" s="16">
        <f t="shared" si="52"/>
        <v>0</v>
      </c>
      <c r="O162" s="16"/>
      <c r="P162" s="16">
        <f t="shared" si="58"/>
        <v>0</v>
      </c>
      <c r="Q162" s="16">
        <f t="shared" si="59"/>
        <v>0</v>
      </c>
      <c r="R162" s="26">
        <f t="shared" si="53"/>
        <v>0</v>
      </c>
      <c r="S162" s="16">
        <f t="shared" si="54"/>
        <v>0</v>
      </c>
      <c r="T162" s="26">
        <f t="shared" si="60"/>
        <v>0</v>
      </c>
      <c r="U162" s="26">
        <f t="shared" si="61"/>
        <v>0</v>
      </c>
      <c r="V162" s="3">
        <f t="shared" si="62"/>
        <v>0</v>
      </c>
      <c r="W162" s="16">
        <f t="shared" si="63"/>
        <v>0</v>
      </c>
      <c r="X162" s="16">
        <f t="shared" si="64"/>
        <v>0</v>
      </c>
      <c r="Y162" s="26">
        <f t="shared" si="65"/>
        <v>0</v>
      </c>
      <c r="Z162" s="26">
        <f t="shared" si="66"/>
        <v>0</v>
      </c>
      <c r="AA162" s="1">
        <f t="shared" si="67"/>
        <v>0</v>
      </c>
    </row>
    <row r="163" spans="7:27" x14ac:dyDescent="0.25">
      <c r="G163">
        <v>154</v>
      </c>
      <c r="H163" s="21">
        <v>48519</v>
      </c>
      <c r="I163" s="16">
        <f t="shared" si="50"/>
        <v>0</v>
      </c>
      <c r="J163" s="16">
        <f t="shared" si="55"/>
        <v>0</v>
      </c>
      <c r="K163" s="16">
        <f t="shared" si="51"/>
        <v>0</v>
      </c>
      <c r="L163" s="26">
        <f t="shared" si="56"/>
        <v>0</v>
      </c>
      <c r="M163" s="26">
        <f t="shared" si="57"/>
        <v>0</v>
      </c>
      <c r="N163" s="16">
        <f t="shared" si="52"/>
        <v>0</v>
      </c>
      <c r="O163" s="16"/>
      <c r="P163" s="16">
        <f t="shared" si="58"/>
        <v>0</v>
      </c>
      <c r="Q163" s="16">
        <f t="shared" si="59"/>
        <v>0</v>
      </c>
      <c r="R163" s="26">
        <f t="shared" si="53"/>
        <v>0</v>
      </c>
      <c r="S163" s="16">
        <f t="shared" si="54"/>
        <v>0</v>
      </c>
      <c r="T163" s="26">
        <f t="shared" si="60"/>
        <v>0</v>
      </c>
      <c r="U163" s="26">
        <f t="shared" si="61"/>
        <v>0</v>
      </c>
      <c r="V163" s="3">
        <f t="shared" si="62"/>
        <v>0</v>
      </c>
      <c r="W163" s="16">
        <f t="shared" si="63"/>
        <v>0</v>
      </c>
      <c r="X163" s="16">
        <f t="shared" si="64"/>
        <v>0</v>
      </c>
      <c r="Y163" s="26">
        <f t="shared" si="65"/>
        <v>0</v>
      </c>
      <c r="Z163" s="26">
        <f t="shared" si="66"/>
        <v>0</v>
      </c>
      <c r="AA163" s="1">
        <f t="shared" si="67"/>
        <v>0</v>
      </c>
    </row>
    <row r="164" spans="7:27" x14ac:dyDescent="0.25">
      <c r="G164">
        <v>155</v>
      </c>
      <c r="H164" s="21">
        <v>48549</v>
      </c>
      <c r="I164" s="16">
        <f t="shared" si="50"/>
        <v>0</v>
      </c>
      <c r="J164" s="16">
        <f t="shared" si="55"/>
        <v>0</v>
      </c>
      <c r="K164" s="16">
        <f t="shared" si="51"/>
        <v>0</v>
      </c>
      <c r="L164" s="26">
        <f t="shared" si="56"/>
        <v>0</v>
      </c>
      <c r="M164" s="26">
        <f t="shared" si="57"/>
        <v>0</v>
      </c>
      <c r="N164" s="16">
        <f t="shared" si="52"/>
        <v>0</v>
      </c>
      <c r="O164" s="16"/>
      <c r="P164" s="16">
        <f t="shared" si="58"/>
        <v>0</v>
      </c>
      <c r="Q164" s="16">
        <f t="shared" si="59"/>
        <v>0</v>
      </c>
      <c r="R164" s="26">
        <f t="shared" si="53"/>
        <v>0</v>
      </c>
      <c r="S164" s="16">
        <f t="shared" si="54"/>
        <v>0</v>
      </c>
      <c r="T164" s="26">
        <f t="shared" si="60"/>
        <v>0</v>
      </c>
      <c r="U164" s="26">
        <f t="shared" si="61"/>
        <v>0</v>
      </c>
      <c r="V164" s="3">
        <f t="shared" si="62"/>
        <v>0</v>
      </c>
      <c r="W164" s="16">
        <f t="shared" si="63"/>
        <v>0</v>
      </c>
      <c r="X164" s="16">
        <f t="shared" si="64"/>
        <v>0</v>
      </c>
      <c r="Y164" s="26">
        <f t="shared" si="65"/>
        <v>0</v>
      </c>
      <c r="Z164" s="26">
        <f t="shared" si="66"/>
        <v>0</v>
      </c>
      <c r="AA164" s="1">
        <f t="shared" si="67"/>
        <v>0</v>
      </c>
    </row>
    <row r="165" spans="7:27" x14ac:dyDescent="0.25">
      <c r="G165">
        <v>156</v>
      </c>
      <c r="H165" s="21">
        <v>48580</v>
      </c>
      <c r="I165" s="16">
        <f t="shared" si="50"/>
        <v>0</v>
      </c>
      <c r="J165" s="16">
        <f t="shared" si="55"/>
        <v>0</v>
      </c>
      <c r="K165" s="16">
        <f t="shared" si="51"/>
        <v>0</v>
      </c>
      <c r="L165" s="26">
        <f t="shared" si="56"/>
        <v>0</v>
      </c>
      <c r="M165" s="26">
        <f t="shared" si="57"/>
        <v>0</v>
      </c>
      <c r="N165" s="16">
        <f t="shared" si="52"/>
        <v>0</v>
      </c>
      <c r="O165" s="16"/>
      <c r="P165" s="16">
        <f t="shared" si="58"/>
        <v>0</v>
      </c>
      <c r="Q165" s="16">
        <f t="shared" si="59"/>
        <v>0</v>
      </c>
      <c r="R165" s="26">
        <f t="shared" si="53"/>
        <v>0</v>
      </c>
      <c r="S165" s="16">
        <f t="shared" si="54"/>
        <v>0</v>
      </c>
      <c r="T165" s="26">
        <f t="shared" si="60"/>
        <v>0</v>
      </c>
      <c r="U165" s="26">
        <f t="shared" si="61"/>
        <v>0</v>
      </c>
      <c r="V165" s="3">
        <f t="shared" si="62"/>
        <v>0</v>
      </c>
      <c r="W165" s="16">
        <f t="shared" si="63"/>
        <v>0</v>
      </c>
      <c r="X165" s="16">
        <f t="shared" si="64"/>
        <v>0</v>
      </c>
      <c r="Y165" s="26">
        <f t="shared" si="65"/>
        <v>0</v>
      </c>
      <c r="Z165" s="26">
        <f t="shared" si="66"/>
        <v>0</v>
      </c>
      <c r="AA165" s="1">
        <f t="shared" si="67"/>
        <v>0</v>
      </c>
    </row>
    <row r="166" spans="7:27" x14ac:dyDescent="0.25">
      <c r="G166">
        <v>157</v>
      </c>
      <c r="H166" s="21">
        <v>48611</v>
      </c>
      <c r="I166" s="16">
        <f t="shared" si="50"/>
        <v>0</v>
      </c>
      <c r="J166" s="16">
        <f t="shared" si="55"/>
        <v>0</v>
      </c>
      <c r="K166" s="16">
        <f t="shared" si="51"/>
        <v>0</v>
      </c>
      <c r="L166" s="26">
        <f t="shared" si="56"/>
        <v>0</v>
      </c>
      <c r="M166" s="26">
        <f t="shared" si="57"/>
        <v>0</v>
      </c>
      <c r="N166" s="16">
        <f t="shared" si="52"/>
        <v>0</v>
      </c>
      <c r="O166" s="16"/>
      <c r="P166" s="16">
        <f t="shared" si="58"/>
        <v>0</v>
      </c>
      <c r="Q166" s="16">
        <f t="shared" si="59"/>
        <v>0</v>
      </c>
      <c r="R166" s="26">
        <f t="shared" si="53"/>
        <v>0</v>
      </c>
      <c r="S166" s="16">
        <f t="shared" si="54"/>
        <v>0</v>
      </c>
      <c r="T166" s="26">
        <f t="shared" si="60"/>
        <v>0</v>
      </c>
      <c r="U166" s="26">
        <f t="shared" si="61"/>
        <v>0</v>
      </c>
      <c r="V166" s="3">
        <f t="shared" si="62"/>
        <v>0</v>
      </c>
      <c r="W166" s="16">
        <f t="shared" si="63"/>
        <v>0</v>
      </c>
      <c r="X166" s="16">
        <f t="shared" si="64"/>
        <v>0</v>
      </c>
      <c r="Y166" s="26">
        <f t="shared" si="65"/>
        <v>0</v>
      </c>
      <c r="Z166" s="26">
        <f t="shared" si="66"/>
        <v>0</v>
      </c>
      <c r="AA166" s="1">
        <f t="shared" si="67"/>
        <v>0</v>
      </c>
    </row>
    <row r="167" spans="7:27" x14ac:dyDescent="0.25">
      <c r="G167">
        <v>158</v>
      </c>
      <c r="H167" s="21">
        <v>48639</v>
      </c>
      <c r="I167" s="16">
        <f t="shared" si="50"/>
        <v>0</v>
      </c>
      <c r="J167" s="16">
        <f t="shared" si="55"/>
        <v>0</v>
      </c>
      <c r="K167" s="16">
        <f t="shared" si="51"/>
        <v>0</v>
      </c>
      <c r="L167" s="26">
        <f t="shared" si="56"/>
        <v>0</v>
      </c>
      <c r="M167" s="26">
        <f t="shared" si="57"/>
        <v>0</v>
      </c>
      <c r="N167" s="16">
        <f t="shared" si="52"/>
        <v>0</v>
      </c>
      <c r="O167" s="16"/>
      <c r="P167" s="16">
        <f t="shared" si="58"/>
        <v>0</v>
      </c>
      <c r="Q167" s="16">
        <f t="shared" si="59"/>
        <v>0</v>
      </c>
      <c r="R167" s="26">
        <f t="shared" si="53"/>
        <v>0</v>
      </c>
      <c r="S167" s="16">
        <f t="shared" si="54"/>
        <v>0</v>
      </c>
      <c r="T167" s="26">
        <f t="shared" si="60"/>
        <v>0</v>
      </c>
      <c r="U167" s="26">
        <f t="shared" si="61"/>
        <v>0</v>
      </c>
      <c r="V167" s="3">
        <f t="shared" si="62"/>
        <v>0</v>
      </c>
      <c r="W167" s="16">
        <f t="shared" si="63"/>
        <v>0</v>
      </c>
      <c r="X167" s="16">
        <f t="shared" si="64"/>
        <v>0</v>
      </c>
      <c r="Y167" s="26">
        <f t="shared" si="65"/>
        <v>0</v>
      </c>
      <c r="Z167" s="26">
        <f t="shared" si="66"/>
        <v>0</v>
      </c>
      <c r="AA167" s="1">
        <f t="shared" si="67"/>
        <v>0</v>
      </c>
    </row>
    <row r="168" spans="7:27" x14ac:dyDescent="0.25">
      <c r="G168">
        <v>159</v>
      </c>
      <c r="H168" s="21">
        <v>48670</v>
      </c>
      <c r="I168" s="16">
        <f t="shared" si="50"/>
        <v>0</v>
      </c>
      <c r="J168" s="16">
        <f t="shared" si="55"/>
        <v>0</v>
      </c>
      <c r="K168" s="16">
        <f t="shared" si="51"/>
        <v>0</v>
      </c>
      <c r="L168" s="26">
        <f t="shared" si="56"/>
        <v>0</v>
      </c>
      <c r="M168" s="26">
        <f t="shared" si="57"/>
        <v>0</v>
      </c>
      <c r="N168" s="16">
        <f t="shared" si="52"/>
        <v>0</v>
      </c>
      <c r="O168" s="16"/>
      <c r="P168" s="16">
        <f t="shared" si="58"/>
        <v>0</v>
      </c>
      <c r="Q168" s="16">
        <f t="shared" si="59"/>
        <v>0</v>
      </c>
      <c r="R168" s="26">
        <f t="shared" si="53"/>
        <v>0</v>
      </c>
      <c r="S168" s="16">
        <f t="shared" si="54"/>
        <v>0</v>
      </c>
      <c r="T168" s="26">
        <f t="shared" si="60"/>
        <v>0</v>
      </c>
      <c r="U168" s="26">
        <f t="shared" si="61"/>
        <v>0</v>
      </c>
      <c r="V168" s="3">
        <f t="shared" si="62"/>
        <v>0</v>
      </c>
      <c r="W168" s="16">
        <f t="shared" si="63"/>
        <v>0</v>
      </c>
      <c r="X168" s="16">
        <f t="shared" si="64"/>
        <v>0</v>
      </c>
      <c r="Y168" s="26">
        <f t="shared" si="65"/>
        <v>0</v>
      </c>
      <c r="Z168" s="26">
        <f t="shared" si="66"/>
        <v>0</v>
      </c>
      <c r="AA168" s="1">
        <f t="shared" si="67"/>
        <v>0</v>
      </c>
    </row>
    <row r="169" spans="7:27" x14ac:dyDescent="0.25">
      <c r="G169">
        <v>160</v>
      </c>
      <c r="H169" s="21">
        <v>48700</v>
      </c>
      <c r="I169" s="16">
        <f t="shared" si="50"/>
        <v>0</v>
      </c>
      <c r="J169" s="16">
        <f t="shared" si="55"/>
        <v>0</v>
      </c>
      <c r="K169" s="16">
        <f t="shared" si="51"/>
        <v>0</v>
      </c>
      <c r="L169" s="26">
        <f t="shared" si="56"/>
        <v>0</v>
      </c>
      <c r="M169" s="26">
        <f t="shared" si="57"/>
        <v>0</v>
      </c>
      <c r="N169" s="16">
        <f t="shared" si="52"/>
        <v>0</v>
      </c>
      <c r="O169" s="16"/>
      <c r="P169" s="16">
        <f t="shared" si="58"/>
        <v>0</v>
      </c>
      <c r="Q169" s="16">
        <f t="shared" si="59"/>
        <v>0</v>
      </c>
      <c r="R169" s="26">
        <f t="shared" si="53"/>
        <v>0</v>
      </c>
      <c r="S169" s="16">
        <f t="shared" si="54"/>
        <v>0</v>
      </c>
      <c r="T169" s="26">
        <f t="shared" si="60"/>
        <v>0</v>
      </c>
      <c r="U169" s="26">
        <f t="shared" si="61"/>
        <v>0</v>
      </c>
      <c r="V169" s="3">
        <f t="shared" si="62"/>
        <v>0</v>
      </c>
      <c r="W169" s="16">
        <f t="shared" si="63"/>
        <v>0</v>
      </c>
      <c r="X169" s="16">
        <f t="shared" si="64"/>
        <v>0</v>
      </c>
      <c r="Y169" s="26">
        <f t="shared" si="65"/>
        <v>0</v>
      </c>
      <c r="Z169" s="26">
        <f t="shared" si="66"/>
        <v>0</v>
      </c>
      <c r="AA169" s="1">
        <f t="shared" si="67"/>
        <v>0</v>
      </c>
    </row>
    <row r="170" spans="7:27" x14ac:dyDescent="0.25">
      <c r="G170">
        <v>161</v>
      </c>
      <c r="H170" s="21">
        <v>48731</v>
      </c>
      <c r="I170" s="16">
        <f t="shared" ref="I170:I189" si="68">IF(G170&lt;=$D$14,$N$9/$D$14*1/(1+$D$20),0)</f>
        <v>0</v>
      </c>
      <c r="J170" s="16">
        <f t="shared" si="55"/>
        <v>0</v>
      </c>
      <c r="K170" s="16">
        <f t="shared" ref="K170:K189" si="69">IF(G170&lt;=$D$14,N169*$D$17,0)</f>
        <v>0</v>
      </c>
      <c r="L170" s="26">
        <f t="shared" si="56"/>
        <v>0</v>
      </c>
      <c r="M170" s="26">
        <f t="shared" si="57"/>
        <v>0</v>
      </c>
      <c r="N170" s="16">
        <f t="shared" ref="N170:N189" si="70">IF(G170&lt;=$D$14,N169-I170-J170,0)</f>
        <v>0</v>
      </c>
      <c r="O170" s="16"/>
      <c r="P170" s="16">
        <f t="shared" si="58"/>
        <v>0</v>
      </c>
      <c r="Q170" s="16">
        <f t="shared" si="59"/>
        <v>0</v>
      </c>
      <c r="R170" s="26">
        <f t="shared" ref="R170:R189" si="71">IF(G170&lt;=$D$14,I170+P170,0)</f>
        <v>0</v>
      </c>
      <c r="S170" s="16">
        <f t="shared" ref="S170:S189" si="72">IF(G170&lt;=$D$14,IF($D$37="льготное",K170,N169*($D$24+3%)/12),0)</f>
        <v>0</v>
      </c>
      <c r="T170" s="26">
        <f t="shared" si="60"/>
        <v>0</v>
      </c>
      <c r="U170" s="26">
        <f t="shared" si="61"/>
        <v>0</v>
      </c>
      <c r="V170" s="3">
        <f t="shared" si="62"/>
        <v>0</v>
      </c>
      <c r="W170" s="16">
        <f t="shared" si="63"/>
        <v>0</v>
      </c>
      <c r="X170" s="16">
        <f t="shared" si="64"/>
        <v>0</v>
      </c>
      <c r="Y170" s="26">
        <f t="shared" si="65"/>
        <v>0</v>
      </c>
      <c r="Z170" s="26">
        <f t="shared" si="66"/>
        <v>0</v>
      </c>
      <c r="AA170" s="1">
        <f t="shared" si="67"/>
        <v>0</v>
      </c>
    </row>
    <row r="171" spans="7:27" x14ac:dyDescent="0.25">
      <c r="G171">
        <v>162</v>
      </c>
      <c r="H171" s="21">
        <v>48761</v>
      </c>
      <c r="I171" s="16">
        <f t="shared" si="68"/>
        <v>0</v>
      </c>
      <c r="J171" s="16">
        <f t="shared" si="55"/>
        <v>0</v>
      </c>
      <c r="K171" s="16">
        <f t="shared" si="69"/>
        <v>0</v>
      </c>
      <c r="L171" s="26">
        <f t="shared" si="56"/>
        <v>0</v>
      </c>
      <c r="M171" s="26">
        <f t="shared" si="57"/>
        <v>0</v>
      </c>
      <c r="N171" s="16">
        <f t="shared" si="70"/>
        <v>0</v>
      </c>
      <c r="O171" s="16"/>
      <c r="P171" s="16">
        <f t="shared" ref="P171:P189" si="73">IF(G170&lt;=$D$14,Q170*$D$17,0)</f>
        <v>0</v>
      </c>
      <c r="Q171" s="16">
        <f t="shared" ref="Q171:Q189" si="74">IF(G170&lt;=$D$14,Q170-I171,0)</f>
        <v>0</v>
      </c>
      <c r="R171" s="26">
        <f t="shared" si="71"/>
        <v>0</v>
      </c>
      <c r="S171" s="16">
        <f t="shared" si="72"/>
        <v>0</v>
      </c>
      <c r="T171" s="26">
        <f t="shared" si="60"/>
        <v>0</v>
      </c>
      <c r="U171" s="26">
        <f t="shared" si="61"/>
        <v>0</v>
      </c>
      <c r="V171" s="3">
        <f t="shared" si="62"/>
        <v>0</v>
      </c>
      <c r="W171" s="16">
        <f t="shared" si="63"/>
        <v>0</v>
      </c>
      <c r="X171" s="16">
        <f t="shared" si="64"/>
        <v>0</v>
      </c>
      <c r="Y171" s="26">
        <f t="shared" si="65"/>
        <v>0</v>
      </c>
      <c r="Z171" s="26">
        <f t="shared" si="66"/>
        <v>0</v>
      </c>
      <c r="AA171" s="1">
        <f t="shared" si="67"/>
        <v>0</v>
      </c>
    </row>
    <row r="172" spans="7:27" x14ac:dyDescent="0.25">
      <c r="G172">
        <v>163</v>
      </c>
      <c r="H172" s="21">
        <v>48792</v>
      </c>
      <c r="I172" s="16">
        <f t="shared" si="68"/>
        <v>0</v>
      </c>
      <c r="J172" s="16">
        <f t="shared" si="55"/>
        <v>0</v>
      </c>
      <c r="K172" s="16">
        <f t="shared" si="69"/>
        <v>0</v>
      </c>
      <c r="L172" s="26">
        <f t="shared" si="56"/>
        <v>0</v>
      </c>
      <c r="M172" s="26">
        <f t="shared" si="57"/>
        <v>0</v>
      </c>
      <c r="N172" s="16">
        <f t="shared" si="70"/>
        <v>0</v>
      </c>
      <c r="O172" s="16"/>
      <c r="P172" s="16">
        <f t="shared" si="73"/>
        <v>0</v>
      </c>
      <c r="Q172" s="16">
        <f t="shared" si="74"/>
        <v>0</v>
      </c>
      <c r="R172" s="26">
        <f t="shared" si="71"/>
        <v>0</v>
      </c>
      <c r="S172" s="16">
        <f t="shared" si="72"/>
        <v>0</v>
      </c>
      <c r="T172" s="26">
        <f t="shared" si="60"/>
        <v>0</v>
      </c>
      <c r="U172" s="26">
        <f t="shared" si="61"/>
        <v>0</v>
      </c>
      <c r="V172" s="3">
        <f t="shared" si="62"/>
        <v>0</v>
      </c>
      <c r="W172" s="16">
        <f t="shared" si="63"/>
        <v>0</v>
      </c>
      <c r="X172" s="16">
        <f t="shared" si="64"/>
        <v>0</v>
      </c>
      <c r="Y172" s="26">
        <f t="shared" si="65"/>
        <v>0</v>
      </c>
      <c r="Z172" s="26">
        <f t="shared" si="66"/>
        <v>0</v>
      </c>
      <c r="AA172" s="1">
        <f t="shared" si="67"/>
        <v>0</v>
      </c>
    </row>
    <row r="173" spans="7:27" x14ac:dyDescent="0.25">
      <c r="G173">
        <v>164</v>
      </c>
      <c r="H173" s="21">
        <v>48823</v>
      </c>
      <c r="I173" s="16">
        <f t="shared" si="68"/>
        <v>0</v>
      </c>
      <c r="J173" s="16">
        <f t="shared" si="55"/>
        <v>0</v>
      </c>
      <c r="K173" s="16">
        <f t="shared" si="69"/>
        <v>0</v>
      </c>
      <c r="L173" s="26">
        <f t="shared" si="56"/>
        <v>0</v>
      </c>
      <c r="M173" s="26">
        <f t="shared" si="57"/>
        <v>0</v>
      </c>
      <c r="N173" s="16">
        <f t="shared" si="70"/>
        <v>0</v>
      </c>
      <c r="O173" s="16"/>
      <c r="P173" s="16">
        <f t="shared" si="73"/>
        <v>0</v>
      </c>
      <c r="Q173" s="16">
        <f t="shared" si="74"/>
        <v>0</v>
      </c>
      <c r="R173" s="26">
        <f t="shared" si="71"/>
        <v>0</v>
      </c>
      <c r="S173" s="16">
        <f t="shared" si="72"/>
        <v>0</v>
      </c>
      <c r="T173" s="26">
        <f t="shared" si="60"/>
        <v>0</v>
      </c>
      <c r="U173" s="26">
        <f t="shared" si="61"/>
        <v>0</v>
      </c>
      <c r="V173" s="3">
        <f t="shared" si="62"/>
        <v>0</v>
      </c>
      <c r="W173" s="16">
        <f t="shared" si="63"/>
        <v>0</v>
      </c>
      <c r="X173" s="16">
        <f t="shared" si="64"/>
        <v>0</v>
      </c>
      <c r="Y173" s="26">
        <f t="shared" si="65"/>
        <v>0</v>
      </c>
      <c r="Z173" s="26">
        <f t="shared" si="66"/>
        <v>0</v>
      </c>
      <c r="AA173" s="1">
        <f t="shared" si="67"/>
        <v>0</v>
      </c>
    </row>
    <row r="174" spans="7:27" x14ac:dyDescent="0.25">
      <c r="G174">
        <v>165</v>
      </c>
      <c r="H174" s="21">
        <v>48853</v>
      </c>
      <c r="I174" s="16">
        <f t="shared" si="68"/>
        <v>0</v>
      </c>
      <c r="J174" s="16">
        <f t="shared" si="55"/>
        <v>0</v>
      </c>
      <c r="K174" s="16">
        <f t="shared" si="69"/>
        <v>0</v>
      </c>
      <c r="L174" s="26">
        <f t="shared" si="56"/>
        <v>0</v>
      </c>
      <c r="M174" s="26">
        <f t="shared" si="57"/>
        <v>0</v>
      </c>
      <c r="N174" s="16">
        <f t="shared" si="70"/>
        <v>0</v>
      </c>
      <c r="O174" s="16"/>
      <c r="P174" s="16">
        <f t="shared" si="73"/>
        <v>0</v>
      </c>
      <c r="Q174" s="16">
        <f t="shared" si="74"/>
        <v>0</v>
      </c>
      <c r="R174" s="26">
        <f t="shared" si="71"/>
        <v>0</v>
      </c>
      <c r="S174" s="16">
        <f t="shared" si="72"/>
        <v>0</v>
      </c>
      <c r="T174" s="26">
        <f t="shared" si="60"/>
        <v>0</v>
      </c>
      <c r="U174" s="26">
        <f t="shared" si="61"/>
        <v>0</v>
      </c>
      <c r="V174" s="3">
        <f t="shared" si="62"/>
        <v>0</v>
      </c>
      <c r="W174" s="16">
        <f t="shared" si="63"/>
        <v>0</v>
      </c>
      <c r="X174" s="16">
        <f t="shared" si="64"/>
        <v>0</v>
      </c>
      <c r="Y174" s="26">
        <f t="shared" si="65"/>
        <v>0</v>
      </c>
      <c r="Z174" s="26">
        <f t="shared" si="66"/>
        <v>0</v>
      </c>
      <c r="AA174" s="1">
        <f t="shared" si="67"/>
        <v>0</v>
      </c>
    </row>
    <row r="175" spans="7:27" x14ac:dyDescent="0.25">
      <c r="G175">
        <v>166</v>
      </c>
      <c r="H175" s="21">
        <v>48884</v>
      </c>
      <c r="I175" s="16">
        <f t="shared" si="68"/>
        <v>0</v>
      </c>
      <c r="J175" s="16">
        <f t="shared" si="55"/>
        <v>0</v>
      </c>
      <c r="K175" s="16">
        <f t="shared" si="69"/>
        <v>0</v>
      </c>
      <c r="L175" s="26">
        <f t="shared" si="56"/>
        <v>0</v>
      </c>
      <c r="M175" s="26">
        <f t="shared" si="57"/>
        <v>0</v>
      </c>
      <c r="N175" s="16">
        <f t="shared" si="70"/>
        <v>0</v>
      </c>
      <c r="O175" s="16"/>
      <c r="P175" s="16">
        <f t="shared" si="73"/>
        <v>0</v>
      </c>
      <c r="Q175" s="16">
        <f t="shared" si="74"/>
        <v>0</v>
      </c>
      <c r="R175" s="26">
        <f t="shared" si="71"/>
        <v>0</v>
      </c>
      <c r="S175" s="16">
        <f t="shared" si="72"/>
        <v>0</v>
      </c>
      <c r="T175" s="26">
        <f t="shared" si="60"/>
        <v>0</v>
      </c>
      <c r="U175" s="26">
        <f t="shared" si="61"/>
        <v>0</v>
      </c>
      <c r="V175" s="3">
        <f t="shared" si="62"/>
        <v>0</v>
      </c>
      <c r="W175" s="16">
        <f t="shared" si="63"/>
        <v>0</v>
      </c>
      <c r="X175" s="16">
        <f t="shared" si="64"/>
        <v>0</v>
      </c>
      <c r="Y175" s="26">
        <f t="shared" si="65"/>
        <v>0</v>
      </c>
      <c r="Z175" s="26">
        <f t="shared" si="66"/>
        <v>0</v>
      </c>
      <c r="AA175" s="1">
        <f t="shared" si="67"/>
        <v>0</v>
      </c>
    </row>
    <row r="176" spans="7:27" x14ac:dyDescent="0.25">
      <c r="G176">
        <v>167</v>
      </c>
      <c r="H176" s="21">
        <v>48914</v>
      </c>
      <c r="I176" s="16">
        <f t="shared" si="68"/>
        <v>0</v>
      </c>
      <c r="J176" s="16">
        <f t="shared" si="55"/>
        <v>0</v>
      </c>
      <c r="K176" s="16">
        <f t="shared" si="69"/>
        <v>0</v>
      </c>
      <c r="L176" s="26">
        <f t="shared" si="56"/>
        <v>0</v>
      </c>
      <c r="M176" s="26">
        <f t="shared" si="57"/>
        <v>0</v>
      </c>
      <c r="N176" s="16">
        <f t="shared" si="70"/>
        <v>0</v>
      </c>
      <c r="O176" s="16"/>
      <c r="P176" s="16">
        <f t="shared" si="73"/>
        <v>0</v>
      </c>
      <c r="Q176" s="16">
        <f t="shared" si="74"/>
        <v>0</v>
      </c>
      <c r="R176" s="26">
        <f t="shared" si="71"/>
        <v>0</v>
      </c>
      <c r="S176" s="16">
        <f t="shared" si="72"/>
        <v>0</v>
      </c>
      <c r="T176" s="26">
        <f t="shared" si="60"/>
        <v>0</v>
      </c>
      <c r="U176" s="26">
        <f t="shared" si="61"/>
        <v>0</v>
      </c>
      <c r="V176" s="3">
        <f t="shared" si="62"/>
        <v>0</v>
      </c>
      <c r="W176" s="16">
        <f t="shared" si="63"/>
        <v>0</v>
      </c>
      <c r="X176" s="16">
        <f t="shared" si="64"/>
        <v>0</v>
      </c>
      <c r="Y176" s="26">
        <f t="shared" si="65"/>
        <v>0</v>
      </c>
      <c r="Z176" s="26">
        <f t="shared" si="66"/>
        <v>0</v>
      </c>
      <c r="AA176" s="1">
        <f t="shared" si="67"/>
        <v>0</v>
      </c>
    </row>
    <row r="177" spans="7:27" x14ac:dyDescent="0.25">
      <c r="G177">
        <v>168</v>
      </c>
      <c r="H177" s="21">
        <v>48945</v>
      </c>
      <c r="I177" s="16">
        <f t="shared" si="68"/>
        <v>0</v>
      </c>
      <c r="J177" s="16">
        <f t="shared" si="55"/>
        <v>0</v>
      </c>
      <c r="K177" s="16">
        <f t="shared" si="69"/>
        <v>0</v>
      </c>
      <c r="L177" s="26">
        <f t="shared" si="56"/>
        <v>0</v>
      </c>
      <c r="M177" s="26">
        <f t="shared" si="57"/>
        <v>0</v>
      </c>
      <c r="N177" s="16">
        <f t="shared" si="70"/>
        <v>0</v>
      </c>
      <c r="O177" s="16"/>
      <c r="P177" s="16">
        <f t="shared" si="73"/>
        <v>0</v>
      </c>
      <c r="Q177" s="16">
        <f t="shared" si="74"/>
        <v>0</v>
      </c>
      <c r="R177" s="26">
        <f t="shared" si="71"/>
        <v>0</v>
      </c>
      <c r="S177" s="16">
        <f t="shared" si="72"/>
        <v>0</v>
      </c>
      <c r="T177" s="26">
        <f t="shared" si="60"/>
        <v>0</v>
      </c>
      <c r="U177" s="26">
        <f t="shared" si="61"/>
        <v>0</v>
      </c>
      <c r="V177" s="3">
        <f t="shared" si="62"/>
        <v>0</v>
      </c>
      <c r="W177" s="16">
        <f t="shared" si="63"/>
        <v>0</v>
      </c>
      <c r="X177" s="16">
        <f t="shared" si="64"/>
        <v>0</v>
      </c>
      <c r="Y177" s="26">
        <f t="shared" si="65"/>
        <v>0</v>
      </c>
      <c r="Z177" s="26">
        <f t="shared" si="66"/>
        <v>0</v>
      </c>
      <c r="AA177" s="1">
        <f t="shared" si="67"/>
        <v>0</v>
      </c>
    </row>
    <row r="178" spans="7:27" x14ac:dyDescent="0.25">
      <c r="G178">
        <v>169</v>
      </c>
      <c r="H178" s="21">
        <v>48976</v>
      </c>
      <c r="I178" s="16">
        <f t="shared" si="68"/>
        <v>0</v>
      </c>
      <c r="J178" s="16">
        <f t="shared" si="55"/>
        <v>0</v>
      </c>
      <c r="K178" s="16">
        <f t="shared" si="69"/>
        <v>0</v>
      </c>
      <c r="L178" s="26">
        <f t="shared" si="56"/>
        <v>0</v>
      </c>
      <c r="M178" s="26">
        <f t="shared" si="57"/>
        <v>0</v>
      </c>
      <c r="N178" s="16">
        <f t="shared" si="70"/>
        <v>0</v>
      </c>
      <c r="O178" s="16"/>
      <c r="P178" s="16">
        <f t="shared" si="73"/>
        <v>0</v>
      </c>
      <c r="Q178" s="16">
        <f t="shared" si="74"/>
        <v>0</v>
      </c>
      <c r="R178" s="26">
        <f t="shared" si="71"/>
        <v>0</v>
      </c>
      <c r="S178" s="16">
        <f t="shared" si="72"/>
        <v>0</v>
      </c>
      <c r="T178" s="26">
        <f t="shared" si="60"/>
        <v>0</v>
      </c>
      <c r="U178" s="26">
        <f t="shared" si="61"/>
        <v>0</v>
      </c>
      <c r="V178" s="3">
        <f t="shared" si="62"/>
        <v>0</v>
      </c>
      <c r="W178" s="16">
        <f t="shared" si="63"/>
        <v>0</v>
      </c>
      <c r="X178" s="16">
        <f t="shared" si="64"/>
        <v>0</v>
      </c>
      <c r="Y178" s="26">
        <f t="shared" si="65"/>
        <v>0</v>
      </c>
      <c r="Z178" s="26">
        <f t="shared" si="66"/>
        <v>0</v>
      </c>
      <c r="AA178" s="1">
        <f t="shared" si="67"/>
        <v>0</v>
      </c>
    </row>
    <row r="179" spans="7:27" x14ac:dyDescent="0.25">
      <c r="G179">
        <v>170</v>
      </c>
      <c r="H179" s="21">
        <v>49004</v>
      </c>
      <c r="I179" s="16">
        <f t="shared" si="68"/>
        <v>0</v>
      </c>
      <c r="J179" s="16">
        <f t="shared" si="55"/>
        <v>0</v>
      </c>
      <c r="K179" s="16">
        <f t="shared" si="69"/>
        <v>0</v>
      </c>
      <c r="L179" s="26">
        <f t="shared" si="56"/>
        <v>0</v>
      </c>
      <c r="M179" s="26">
        <f t="shared" si="57"/>
        <v>0</v>
      </c>
      <c r="N179" s="16">
        <f t="shared" si="70"/>
        <v>0</v>
      </c>
      <c r="O179" s="16"/>
      <c r="P179" s="16">
        <f t="shared" si="73"/>
        <v>0</v>
      </c>
      <c r="Q179" s="16">
        <f t="shared" si="74"/>
        <v>0</v>
      </c>
      <c r="R179" s="26">
        <f t="shared" si="71"/>
        <v>0</v>
      </c>
      <c r="S179" s="16">
        <f t="shared" si="72"/>
        <v>0</v>
      </c>
      <c r="T179" s="26">
        <f t="shared" si="60"/>
        <v>0</v>
      </c>
      <c r="U179" s="26">
        <f t="shared" si="61"/>
        <v>0</v>
      </c>
      <c r="V179" s="3">
        <f t="shared" si="62"/>
        <v>0</v>
      </c>
      <c r="W179" s="16">
        <f t="shared" si="63"/>
        <v>0</v>
      </c>
      <c r="X179" s="16">
        <f t="shared" si="64"/>
        <v>0</v>
      </c>
      <c r="Y179" s="26">
        <f t="shared" si="65"/>
        <v>0</v>
      </c>
      <c r="Z179" s="26">
        <f t="shared" si="66"/>
        <v>0</v>
      </c>
      <c r="AA179" s="1">
        <f t="shared" si="67"/>
        <v>0</v>
      </c>
    </row>
    <row r="180" spans="7:27" x14ac:dyDescent="0.25">
      <c r="G180">
        <v>171</v>
      </c>
      <c r="H180" s="21">
        <v>49035</v>
      </c>
      <c r="I180" s="16">
        <f t="shared" si="68"/>
        <v>0</v>
      </c>
      <c r="J180" s="16">
        <f t="shared" si="55"/>
        <v>0</v>
      </c>
      <c r="K180" s="16">
        <f t="shared" si="69"/>
        <v>0</v>
      </c>
      <c r="L180" s="26">
        <f t="shared" si="56"/>
        <v>0</v>
      </c>
      <c r="M180" s="26">
        <f t="shared" si="57"/>
        <v>0</v>
      </c>
      <c r="N180" s="16">
        <f t="shared" si="70"/>
        <v>0</v>
      </c>
      <c r="O180" s="16"/>
      <c r="P180" s="16">
        <f t="shared" si="73"/>
        <v>0</v>
      </c>
      <c r="Q180" s="16">
        <f t="shared" si="74"/>
        <v>0</v>
      </c>
      <c r="R180" s="26">
        <f t="shared" si="71"/>
        <v>0</v>
      </c>
      <c r="S180" s="16">
        <f t="shared" si="72"/>
        <v>0</v>
      </c>
      <c r="T180" s="26">
        <f t="shared" si="60"/>
        <v>0</v>
      </c>
      <c r="U180" s="26">
        <f t="shared" si="61"/>
        <v>0</v>
      </c>
      <c r="V180" s="3">
        <f t="shared" si="62"/>
        <v>0</v>
      </c>
      <c r="W180" s="16">
        <f t="shared" si="63"/>
        <v>0</v>
      </c>
      <c r="X180" s="16">
        <f t="shared" si="64"/>
        <v>0</v>
      </c>
      <c r="Y180" s="26">
        <f t="shared" si="65"/>
        <v>0</v>
      </c>
      <c r="Z180" s="26">
        <f t="shared" si="66"/>
        <v>0</v>
      </c>
      <c r="AA180" s="1">
        <f t="shared" si="67"/>
        <v>0</v>
      </c>
    </row>
    <row r="181" spans="7:27" x14ac:dyDescent="0.25">
      <c r="G181">
        <v>172</v>
      </c>
      <c r="H181" s="21">
        <v>49065</v>
      </c>
      <c r="I181" s="16">
        <f t="shared" si="68"/>
        <v>0</v>
      </c>
      <c r="J181" s="16">
        <f t="shared" si="55"/>
        <v>0</v>
      </c>
      <c r="K181" s="16">
        <f t="shared" si="69"/>
        <v>0</v>
      </c>
      <c r="L181" s="26">
        <f t="shared" si="56"/>
        <v>0</v>
      </c>
      <c r="M181" s="26">
        <f t="shared" si="57"/>
        <v>0</v>
      </c>
      <c r="N181" s="16">
        <f t="shared" si="70"/>
        <v>0</v>
      </c>
      <c r="O181" s="16"/>
      <c r="P181" s="16">
        <f t="shared" si="73"/>
        <v>0</v>
      </c>
      <c r="Q181" s="16">
        <f t="shared" si="74"/>
        <v>0</v>
      </c>
      <c r="R181" s="26">
        <f t="shared" si="71"/>
        <v>0</v>
      </c>
      <c r="S181" s="16">
        <f t="shared" si="72"/>
        <v>0</v>
      </c>
      <c r="T181" s="26">
        <f t="shared" si="60"/>
        <v>0</v>
      </c>
      <c r="U181" s="26">
        <f t="shared" si="61"/>
        <v>0</v>
      </c>
      <c r="V181" s="3">
        <f t="shared" si="62"/>
        <v>0</v>
      </c>
      <c r="W181" s="16">
        <f t="shared" si="63"/>
        <v>0</v>
      </c>
      <c r="X181" s="16">
        <f t="shared" si="64"/>
        <v>0</v>
      </c>
      <c r="Y181" s="26">
        <f t="shared" si="65"/>
        <v>0</v>
      </c>
      <c r="Z181" s="26">
        <f t="shared" si="66"/>
        <v>0</v>
      </c>
      <c r="AA181" s="1">
        <f t="shared" si="67"/>
        <v>0</v>
      </c>
    </row>
    <row r="182" spans="7:27" x14ac:dyDescent="0.25">
      <c r="G182">
        <v>173</v>
      </c>
      <c r="H182" s="21">
        <v>49096</v>
      </c>
      <c r="I182" s="16">
        <f t="shared" si="68"/>
        <v>0</v>
      </c>
      <c r="J182" s="16">
        <f t="shared" si="55"/>
        <v>0</v>
      </c>
      <c r="K182" s="16">
        <f t="shared" si="69"/>
        <v>0</v>
      </c>
      <c r="L182" s="26">
        <f t="shared" si="56"/>
        <v>0</v>
      </c>
      <c r="M182" s="26">
        <f t="shared" si="57"/>
        <v>0</v>
      </c>
      <c r="N182" s="16">
        <f t="shared" si="70"/>
        <v>0</v>
      </c>
      <c r="O182" s="16"/>
      <c r="P182" s="16">
        <f t="shared" si="73"/>
        <v>0</v>
      </c>
      <c r="Q182" s="16">
        <f t="shared" si="74"/>
        <v>0</v>
      </c>
      <c r="R182" s="26">
        <f t="shared" si="71"/>
        <v>0</v>
      </c>
      <c r="S182" s="16">
        <f t="shared" si="72"/>
        <v>0</v>
      </c>
      <c r="T182" s="26">
        <f t="shared" si="60"/>
        <v>0</v>
      </c>
      <c r="U182" s="26">
        <f t="shared" si="61"/>
        <v>0</v>
      </c>
      <c r="V182" s="3">
        <f t="shared" si="62"/>
        <v>0</v>
      </c>
      <c r="W182" s="16">
        <f t="shared" si="63"/>
        <v>0</v>
      </c>
      <c r="X182" s="16">
        <f t="shared" si="64"/>
        <v>0</v>
      </c>
      <c r="Y182" s="26">
        <f t="shared" si="65"/>
        <v>0</v>
      </c>
      <c r="Z182" s="26">
        <f t="shared" si="66"/>
        <v>0</v>
      </c>
      <c r="AA182" s="1">
        <f t="shared" si="67"/>
        <v>0</v>
      </c>
    </row>
    <row r="183" spans="7:27" x14ac:dyDescent="0.25">
      <c r="G183">
        <v>174</v>
      </c>
      <c r="H183" s="21">
        <v>49126</v>
      </c>
      <c r="I183" s="16">
        <f t="shared" si="68"/>
        <v>0</v>
      </c>
      <c r="J183" s="16">
        <f t="shared" si="55"/>
        <v>0</v>
      </c>
      <c r="K183" s="16">
        <f t="shared" si="69"/>
        <v>0</v>
      </c>
      <c r="L183" s="26">
        <f t="shared" si="56"/>
        <v>0</v>
      </c>
      <c r="M183" s="26">
        <f t="shared" si="57"/>
        <v>0</v>
      </c>
      <c r="N183" s="16">
        <f t="shared" si="70"/>
        <v>0</v>
      </c>
      <c r="O183" s="16"/>
      <c r="P183" s="16">
        <f t="shared" si="73"/>
        <v>0</v>
      </c>
      <c r="Q183" s="16">
        <f t="shared" si="74"/>
        <v>0</v>
      </c>
      <c r="R183" s="26">
        <f t="shared" si="71"/>
        <v>0</v>
      </c>
      <c r="S183" s="16">
        <f t="shared" si="72"/>
        <v>0</v>
      </c>
      <c r="T183" s="26">
        <f t="shared" si="60"/>
        <v>0</v>
      </c>
      <c r="U183" s="26">
        <f t="shared" si="61"/>
        <v>0</v>
      </c>
      <c r="V183" s="3">
        <f t="shared" si="62"/>
        <v>0</v>
      </c>
      <c r="W183" s="16">
        <f t="shared" si="63"/>
        <v>0</v>
      </c>
      <c r="X183" s="16">
        <f t="shared" si="64"/>
        <v>0</v>
      </c>
      <c r="Y183" s="26">
        <f t="shared" si="65"/>
        <v>0</v>
      </c>
      <c r="Z183" s="26">
        <f t="shared" si="66"/>
        <v>0</v>
      </c>
      <c r="AA183" s="1">
        <f t="shared" si="67"/>
        <v>0</v>
      </c>
    </row>
    <row r="184" spans="7:27" x14ac:dyDescent="0.25">
      <c r="G184">
        <v>175</v>
      </c>
      <c r="H184" s="21">
        <v>49157</v>
      </c>
      <c r="I184" s="16">
        <f t="shared" si="68"/>
        <v>0</v>
      </c>
      <c r="J184" s="16">
        <f t="shared" si="55"/>
        <v>0</v>
      </c>
      <c r="K184" s="16">
        <f t="shared" si="69"/>
        <v>0</v>
      </c>
      <c r="L184" s="26">
        <f t="shared" si="56"/>
        <v>0</v>
      </c>
      <c r="M184" s="26">
        <f t="shared" si="57"/>
        <v>0</v>
      </c>
      <c r="N184" s="16">
        <f t="shared" si="70"/>
        <v>0</v>
      </c>
      <c r="O184" s="16"/>
      <c r="P184" s="16">
        <f t="shared" si="73"/>
        <v>0</v>
      </c>
      <c r="Q184" s="16">
        <f t="shared" si="74"/>
        <v>0</v>
      </c>
      <c r="R184" s="26">
        <f t="shared" si="71"/>
        <v>0</v>
      </c>
      <c r="S184" s="16">
        <f t="shared" si="72"/>
        <v>0</v>
      </c>
      <c r="T184" s="26">
        <f t="shared" si="60"/>
        <v>0</v>
      </c>
      <c r="U184" s="26">
        <f t="shared" si="61"/>
        <v>0</v>
      </c>
      <c r="V184" s="3">
        <f t="shared" si="62"/>
        <v>0</v>
      </c>
      <c r="W184" s="16">
        <f t="shared" si="63"/>
        <v>0</v>
      </c>
      <c r="X184" s="16">
        <f t="shared" si="64"/>
        <v>0</v>
      </c>
      <c r="Y184" s="26">
        <f t="shared" si="65"/>
        <v>0</v>
      </c>
      <c r="Z184" s="26">
        <f t="shared" si="66"/>
        <v>0</v>
      </c>
      <c r="AA184" s="1">
        <f t="shared" si="67"/>
        <v>0</v>
      </c>
    </row>
    <row r="185" spans="7:27" x14ac:dyDescent="0.25">
      <c r="G185">
        <v>176</v>
      </c>
      <c r="H185" s="21">
        <v>49188</v>
      </c>
      <c r="I185" s="16">
        <f t="shared" si="68"/>
        <v>0</v>
      </c>
      <c r="J185" s="16">
        <f t="shared" si="55"/>
        <v>0</v>
      </c>
      <c r="K185" s="16">
        <f t="shared" si="69"/>
        <v>0</v>
      </c>
      <c r="L185" s="26">
        <f t="shared" si="56"/>
        <v>0</v>
      </c>
      <c r="M185" s="26">
        <f t="shared" si="57"/>
        <v>0</v>
      </c>
      <c r="N185" s="16">
        <f t="shared" si="70"/>
        <v>0</v>
      </c>
      <c r="O185" s="16"/>
      <c r="P185" s="16">
        <f t="shared" si="73"/>
        <v>0</v>
      </c>
      <c r="Q185" s="16">
        <f t="shared" si="74"/>
        <v>0</v>
      </c>
      <c r="R185" s="26">
        <f t="shared" si="71"/>
        <v>0</v>
      </c>
      <c r="S185" s="16">
        <f t="shared" si="72"/>
        <v>0</v>
      </c>
      <c r="T185" s="26">
        <f t="shared" si="60"/>
        <v>0</v>
      </c>
      <c r="U185" s="26">
        <f t="shared" si="61"/>
        <v>0</v>
      </c>
      <c r="V185" s="3">
        <f t="shared" si="62"/>
        <v>0</v>
      </c>
      <c r="W185" s="16">
        <f t="shared" si="63"/>
        <v>0</v>
      </c>
      <c r="X185" s="16">
        <f t="shared" si="64"/>
        <v>0</v>
      </c>
      <c r="Y185" s="26">
        <f t="shared" si="65"/>
        <v>0</v>
      </c>
      <c r="Z185" s="26">
        <f t="shared" si="66"/>
        <v>0</v>
      </c>
      <c r="AA185" s="1">
        <f t="shared" si="67"/>
        <v>0</v>
      </c>
    </row>
    <row r="186" spans="7:27" x14ac:dyDescent="0.25">
      <c r="G186">
        <v>177</v>
      </c>
      <c r="H186" s="21">
        <v>49218</v>
      </c>
      <c r="I186" s="16">
        <f t="shared" si="68"/>
        <v>0</v>
      </c>
      <c r="J186" s="16">
        <f t="shared" si="55"/>
        <v>0</v>
      </c>
      <c r="K186" s="16">
        <f t="shared" si="69"/>
        <v>0</v>
      </c>
      <c r="L186" s="26">
        <f t="shared" si="56"/>
        <v>0</v>
      </c>
      <c r="M186" s="26">
        <f t="shared" si="57"/>
        <v>0</v>
      </c>
      <c r="N186" s="16">
        <f t="shared" si="70"/>
        <v>0</v>
      </c>
      <c r="O186" s="16"/>
      <c r="P186" s="16">
        <f t="shared" si="73"/>
        <v>0</v>
      </c>
      <c r="Q186" s="16">
        <f t="shared" si="74"/>
        <v>0</v>
      </c>
      <c r="R186" s="26">
        <f t="shared" si="71"/>
        <v>0</v>
      </c>
      <c r="S186" s="16">
        <f t="shared" si="72"/>
        <v>0</v>
      </c>
      <c r="T186" s="26">
        <f t="shared" si="60"/>
        <v>0</v>
      </c>
      <c r="U186" s="26">
        <f t="shared" si="61"/>
        <v>0</v>
      </c>
      <c r="V186" s="3">
        <f t="shared" si="62"/>
        <v>0</v>
      </c>
      <c r="W186" s="16">
        <f t="shared" si="63"/>
        <v>0</v>
      </c>
      <c r="X186" s="16">
        <f t="shared" si="64"/>
        <v>0</v>
      </c>
      <c r="Y186" s="26">
        <f t="shared" si="65"/>
        <v>0</v>
      </c>
      <c r="Z186" s="26">
        <f t="shared" si="66"/>
        <v>0</v>
      </c>
      <c r="AA186" s="1">
        <f t="shared" si="67"/>
        <v>0</v>
      </c>
    </row>
    <row r="187" spans="7:27" x14ac:dyDescent="0.25">
      <c r="G187">
        <v>178</v>
      </c>
      <c r="H187" s="21">
        <v>49249</v>
      </c>
      <c r="I187" s="16">
        <f t="shared" si="68"/>
        <v>0</v>
      </c>
      <c r="J187" s="16">
        <f t="shared" si="55"/>
        <v>0</v>
      </c>
      <c r="K187" s="16">
        <f t="shared" si="69"/>
        <v>0</v>
      </c>
      <c r="L187" s="26">
        <f t="shared" si="56"/>
        <v>0</v>
      </c>
      <c r="M187" s="26">
        <f t="shared" si="57"/>
        <v>0</v>
      </c>
      <c r="N187" s="16">
        <f t="shared" si="70"/>
        <v>0</v>
      </c>
      <c r="O187" s="16"/>
      <c r="P187" s="16">
        <f t="shared" si="73"/>
        <v>0</v>
      </c>
      <c r="Q187" s="16">
        <f t="shared" si="74"/>
        <v>0</v>
      </c>
      <c r="R187" s="26">
        <f t="shared" si="71"/>
        <v>0</v>
      </c>
      <c r="S187" s="16">
        <f t="shared" si="72"/>
        <v>0</v>
      </c>
      <c r="T187" s="26">
        <f t="shared" si="60"/>
        <v>0</v>
      </c>
      <c r="U187" s="26">
        <f t="shared" si="61"/>
        <v>0</v>
      </c>
      <c r="V187" s="3">
        <f t="shared" si="62"/>
        <v>0</v>
      </c>
      <c r="W187" s="16">
        <f t="shared" si="63"/>
        <v>0</v>
      </c>
      <c r="X187" s="16">
        <f t="shared" si="64"/>
        <v>0</v>
      </c>
      <c r="Y187" s="26">
        <f t="shared" si="65"/>
        <v>0</v>
      </c>
      <c r="Z187" s="26">
        <f t="shared" si="66"/>
        <v>0</v>
      </c>
      <c r="AA187" s="1">
        <f t="shared" si="67"/>
        <v>0</v>
      </c>
    </row>
    <row r="188" spans="7:27" x14ac:dyDescent="0.25">
      <c r="G188">
        <v>179</v>
      </c>
      <c r="H188" s="21">
        <v>49279</v>
      </c>
      <c r="I188" s="16">
        <f t="shared" si="68"/>
        <v>0</v>
      </c>
      <c r="J188" s="16">
        <f t="shared" si="55"/>
        <v>0</v>
      </c>
      <c r="K188" s="16">
        <f t="shared" si="69"/>
        <v>0</v>
      </c>
      <c r="L188" s="26">
        <f t="shared" si="56"/>
        <v>0</v>
      </c>
      <c r="M188" s="26">
        <f t="shared" si="57"/>
        <v>0</v>
      </c>
      <c r="N188" s="16">
        <f t="shared" si="70"/>
        <v>0</v>
      </c>
      <c r="O188" s="16"/>
      <c r="P188" s="16">
        <f t="shared" si="73"/>
        <v>0</v>
      </c>
      <c r="Q188" s="16">
        <f t="shared" si="74"/>
        <v>0</v>
      </c>
      <c r="R188" s="26">
        <f t="shared" si="71"/>
        <v>0</v>
      </c>
      <c r="S188" s="16">
        <f t="shared" si="72"/>
        <v>0</v>
      </c>
      <c r="T188" s="26">
        <f t="shared" si="60"/>
        <v>0</v>
      </c>
      <c r="U188" s="26">
        <f t="shared" si="61"/>
        <v>0</v>
      </c>
      <c r="V188" s="3">
        <f t="shared" si="62"/>
        <v>0</v>
      </c>
      <c r="W188" s="16">
        <f t="shared" si="63"/>
        <v>0</v>
      </c>
      <c r="X188" s="16">
        <f t="shared" si="64"/>
        <v>0</v>
      </c>
      <c r="Y188" s="26">
        <f t="shared" si="65"/>
        <v>0</v>
      </c>
      <c r="Z188" s="26">
        <f t="shared" si="66"/>
        <v>0</v>
      </c>
      <c r="AA188" s="1">
        <f t="shared" si="67"/>
        <v>0</v>
      </c>
    </row>
    <row r="189" spans="7:27" x14ac:dyDescent="0.25">
      <c r="G189">
        <v>180</v>
      </c>
      <c r="H189" s="21">
        <v>49310</v>
      </c>
      <c r="I189" s="16">
        <f t="shared" si="68"/>
        <v>0</v>
      </c>
      <c r="J189" s="16">
        <f t="shared" si="55"/>
        <v>0</v>
      </c>
      <c r="K189" s="16">
        <f t="shared" si="69"/>
        <v>0</v>
      </c>
      <c r="L189" s="26">
        <f t="shared" si="56"/>
        <v>0</v>
      </c>
      <c r="M189" s="26">
        <f t="shared" si="57"/>
        <v>0</v>
      </c>
      <c r="N189" s="16">
        <f t="shared" si="70"/>
        <v>0</v>
      </c>
      <c r="O189" s="16"/>
      <c r="P189" s="16">
        <f t="shared" si="73"/>
        <v>0</v>
      </c>
      <c r="Q189" s="16">
        <f t="shared" si="74"/>
        <v>0</v>
      </c>
      <c r="R189" s="26">
        <f t="shared" si="71"/>
        <v>0</v>
      </c>
      <c r="S189" s="16">
        <f t="shared" si="72"/>
        <v>0</v>
      </c>
      <c r="T189" s="26">
        <f t="shared" si="60"/>
        <v>0</v>
      </c>
      <c r="U189" s="26">
        <f t="shared" si="61"/>
        <v>0</v>
      </c>
      <c r="V189" s="3">
        <f t="shared" si="62"/>
        <v>0</v>
      </c>
      <c r="W189" s="16">
        <f t="shared" si="63"/>
        <v>0</v>
      </c>
      <c r="X189" s="16">
        <f t="shared" si="64"/>
        <v>0</v>
      </c>
      <c r="Y189" s="26">
        <f t="shared" si="65"/>
        <v>0</v>
      </c>
      <c r="Z189" s="26">
        <f t="shared" si="66"/>
        <v>0</v>
      </c>
      <c r="AA189" s="1">
        <f t="shared" si="67"/>
        <v>0</v>
      </c>
    </row>
  </sheetData>
  <mergeCells count="38">
    <mergeCell ref="U6:U7"/>
    <mergeCell ref="Z6:Z7"/>
    <mergeCell ref="X6:X7"/>
    <mergeCell ref="Y6:Y7"/>
    <mergeCell ref="A23:C23"/>
    <mergeCell ref="W6:W7"/>
    <mergeCell ref="A11:C11"/>
    <mergeCell ref="N6:N7"/>
    <mergeCell ref="O6:O7"/>
    <mergeCell ref="K6:K7"/>
    <mergeCell ref="L6:L7"/>
    <mergeCell ref="R6:R7"/>
    <mergeCell ref="S6:S7"/>
    <mergeCell ref="V6:V7"/>
    <mergeCell ref="Q6:Q7"/>
    <mergeCell ref="P6:P7"/>
    <mergeCell ref="A35:C35"/>
    <mergeCell ref="A12:C12"/>
    <mergeCell ref="A31:C31"/>
    <mergeCell ref="A32:C32"/>
    <mergeCell ref="A29:C29"/>
    <mergeCell ref="A24:C24"/>
    <mergeCell ref="A13:C13"/>
    <mergeCell ref="A14:C14"/>
    <mergeCell ref="A15:C15"/>
    <mergeCell ref="A16:C16"/>
    <mergeCell ref="A17:C17"/>
    <mergeCell ref="A21:C21"/>
    <mergeCell ref="A22:C22"/>
    <mergeCell ref="T6:T7"/>
    <mergeCell ref="G6:G7"/>
    <mergeCell ref="I6:J6"/>
    <mergeCell ref="A26:C26"/>
    <mergeCell ref="A28:C28"/>
    <mergeCell ref="M6:M7"/>
    <mergeCell ref="A18:C18"/>
    <mergeCell ref="A19:C19"/>
    <mergeCell ref="A20:C20"/>
  </mergeCells>
  <pageMargins left="0.7" right="0.7" top="0.75" bottom="0.75" header="0.3" footer="0.3"/>
  <pageSetup paperSize="9" orientation="portrait" r:id="rId1"/>
  <ignoredErrors>
    <ignoredError sqref="D1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N28"/>
  <sheetViews>
    <sheetView workbookViewId="0">
      <selection activeCell="O18" sqref="O18:Q20"/>
    </sheetView>
  </sheetViews>
  <sheetFormatPr defaultRowHeight="15" x14ac:dyDescent="0.25"/>
  <sheetData>
    <row r="1" spans="1:14" x14ac:dyDescent="0.25">
      <c r="A1" t="s">
        <v>56</v>
      </c>
      <c r="C1" t="s">
        <v>42</v>
      </c>
      <c r="D1" t="s">
        <v>120</v>
      </c>
      <c r="E1" t="s">
        <v>3</v>
      </c>
      <c r="F1" t="s">
        <v>104</v>
      </c>
    </row>
    <row r="2" spans="1:14" x14ac:dyDescent="0.25">
      <c r="A2" t="s">
        <v>74</v>
      </c>
      <c r="C2" t="s">
        <v>97</v>
      </c>
      <c r="D2">
        <v>20</v>
      </c>
      <c r="E2" t="s">
        <v>116</v>
      </c>
      <c r="F2" t="s">
        <v>116</v>
      </c>
      <c r="G2" t="s">
        <v>72</v>
      </c>
      <c r="L2" t="s">
        <v>1</v>
      </c>
      <c r="N2" t="s">
        <v>66</v>
      </c>
    </row>
    <row r="3" spans="1:14" x14ac:dyDescent="0.25">
      <c r="A3" t="s">
        <v>126</v>
      </c>
      <c r="C3" t="s">
        <v>108</v>
      </c>
      <c r="D3">
        <v>6</v>
      </c>
      <c r="E3" t="s">
        <v>78</v>
      </c>
      <c r="F3" t="s">
        <v>78</v>
      </c>
      <c r="G3" t="s">
        <v>73</v>
      </c>
      <c r="L3" t="s">
        <v>65</v>
      </c>
      <c r="N3" t="s">
        <v>67</v>
      </c>
    </row>
    <row r="4" spans="1:14" x14ac:dyDescent="0.25">
      <c r="A4" t="s">
        <v>75</v>
      </c>
      <c r="C4" t="s">
        <v>109</v>
      </c>
      <c r="D4">
        <v>15</v>
      </c>
      <c r="E4" t="s">
        <v>78</v>
      </c>
      <c r="F4" t="s">
        <v>116</v>
      </c>
    </row>
    <row r="5" spans="1:14" x14ac:dyDescent="0.25">
      <c r="C5" t="s">
        <v>100</v>
      </c>
      <c r="D5" t="s">
        <v>112</v>
      </c>
      <c r="E5" t="s">
        <v>78</v>
      </c>
      <c r="F5" t="s">
        <v>78</v>
      </c>
    </row>
    <row r="6" spans="1:14" x14ac:dyDescent="0.25">
      <c r="C6" t="s">
        <v>117</v>
      </c>
      <c r="D6">
        <v>6</v>
      </c>
      <c r="E6" t="s">
        <v>116</v>
      </c>
      <c r="F6" t="s">
        <v>116</v>
      </c>
    </row>
    <row r="7" spans="1:14" x14ac:dyDescent="0.25">
      <c r="C7" t="s">
        <v>118</v>
      </c>
      <c r="D7">
        <v>6</v>
      </c>
      <c r="E7" t="s">
        <v>78</v>
      </c>
      <c r="F7" t="s">
        <v>116</v>
      </c>
    </row>
    <row r="8" spans="1:14" x14ac:dyDescent="0.25">
      <c r="C8" t="s">
        <v>106</v>
      </c>
      <c r="D8" t="s">
        <v>112</v>
      </c>
      <c r="E8" t="s">
        <v>78</v>
      </c>
      <c r="F8" t="s">
        <v>78</v>
      </c>
    </row>
    <row r="9" spans="1:14" x14ac:dyDescent="0.25">
      <c r="C9" t="s">
        <v>103</v>
      </c>
      <c r="D9" t="s">
        <v>113</v>
      </c>
      <c r="E9" t="s">
        <v>78</v>
      </c>
      <c r="F9" t="s">
        <v>78</v>
      </c>
    </row>
    <row r="10" spans="1:14" x14ac:dyDescent="0.25">
      <c r="C10" t="s">
        <v>111</v>
      </c>
      <c r="D10" t="s">
        <v>112</v>
      </c>
      <c r="E10" t="s">
        <v>78</v>
      </c>
      <c r="F10" t="s">
        <v>78</v>
      </c>
    </row>
    <row r="22" spans="3:7" x14ac:dyDescent="0.25">
      <c r="C22" t="s">
        <v>99</v>
      </c>
      <c r="G22" t="s">
        <v>102</v>
      </c>
    </row>
    <row r="23" spans="3:7" x14ac:dyDescent="0.25">
      <c r="C23" t="s">
        <v>98</v>
      </c>
      <c r="G23" t="s">
        <v>105</v>
      </c>
    </row>
    <row r="24" spans="3:7" x14ac:dyDescent="0.25">
      <c r="C24" t="s">
        <v>100</v>
      </c>
      <c r="G24" t="s">
        <v>102</v>
      </c>
    </row>
    <row r="25" spans="3:7" x14ac:dyDescent="0.25">
      <c r="C25" t="s">
        <v>101</v>
      </c>
      <c r="G25" s="18" t="s">
        <v>107</v>
      </c>
    </row>
    <row r="26" spans="3:7" x14ac:dyDescent="0.25">
      <c r="C26" t="s">
        <v>106</v>
      </c>
      <c r="G26" t="s">
        <v>102</v>
      </c>
    </row>
    <row r="27" spans="3:7" x14ac:dyDescent="0.25">
      <c r="C27" t="s">
        <v>103</v>
      </c>
      <c r="G27" t="s">
        <v>102</v>
      </c>
    </row>
    <row r="28" spans="3:7" x14ac:dyDescent="0.25">
      <c r="C28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Калькулятор лизинга</vt:lpstr>
      <vt:lpstr>Аннуитетное (с ндс)</vt:lpstr>
      <vt:lpstr>Равномерное</vt:lpstr>
      <vt:lpstr>Персональный</vt:lpstr>
      <vt:lpstr>Кредит аннуитет</vt:lpstr>
      <vt:lpstr>Кредит равномерное</vt:lpstr>
      <vt:lpstr>Лист2</vt:lpstr>
      <vt:lpstr>'Калькулятор лизинга'!Область_печати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2022-02-21T12:39:58Z</dcterms:modified>
</cp:coreProperties>
</file>